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11160" tabRatio="601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</sheets>
  <definedNames>
    <definedName name="_xlnm.Print_Area" localSheetId="0">'P1'!$A$1:$P$47</definedName>
    <definedName name="_xlnm.Print_Area" localSheetId="1">'P2'!$A$1:$L$59</definedName>
    <definedName name="_xlnm.Print_Area" localSheetId="2">'P3'!$A$1:$O$46</definedName>
    <definedName name="_xlnm.Print_Area" localSheetId="3">'P4'!$A$1:$I$57</definedName>
    <definedName name="_xlnm.Print_Area" localSheetId="4">'P5'!$A$1:$K$47</definedName>
    <definedName name="_xlnm.Print_Area" localSheetId="5">'P6'!$A$1:$I$46</definedName>
    <definedName name="_xlnm.Print_Area" localSheetId="6">'P7'!$A$1:$O$46</definedName>
    <definedName name="_xlnm.Print_Area" localSheetId="7">'P8'!$A$1:$L$64</definedName>
  </definedNames>
  <calcPr fullCalcOnLoad="1"/>
</workbook>
</file>

<file path=xl/sharedStrings.xml><?xml version="1.0" encoding="utf-8"?>
<sst xmlns="http://schemas.openxmlformats.org/spreadsheetml/2006/main" count="394" uniqueCount="146">
  <si>
    <t xml:space="preserve"> </t>
  </si>
  <si>
    <t>%</t>
  </si>
  <si>
    <t>سنة</t>
  </si>
  <si>
    <t>جانفي</t>
  </si>
  <si>
    <t>فيفري</t>
  </si>
  <si>
    <t>مارس</t>
  </si>
  <si>
    <t>أفريل</t>
  </si>
  <si>
    <t>ماي</t>
  </si>
  <si>
    <t>جوان</t>
  </si>
  <si>
    <t xml:space="preserve">جويلية </t>
  </si>
  <si>
    <t>أوت</t>
  </si>
  <si>
    <t>سبتمبر</t>
  </si>
  <si>
    <t>أكتوبر</t>
  </si>
  <si>
    <t>نوفمبر</t>
  </si>
  <si>
    <t>السنة</t>
  </si>
  <si>
    <t>ديسمبر</t>
  </si>
  <si>
    <t>الجمهورية التونسية</t>
  </si>
  <si>
    <t xml:space="preserve">وكالة النهوض  </t>
  </si>
  <si>
    <t>بالإستثمارات الفلاحية</t>
  </si>
  <si>
    <t>الولايات</t>
  </si>
  <si>
    <t>المجموع العام</t>
  </si>
  <si>
    <t>الفلاحية</t>
  </si>
  <si>
    <t>المجموع</t>
  </si>
  <si>
    <t>الجمهورة التونسية</t>
  </si>
  <si>
    <t>وكالة النهوض بالإستثمارات</t>
  </si>
  <si>
    <t>المبلغ</t>
  </si>
  <si>
    <t>التجهيزات</t>
  </si>
  <si>
    <t>المواشي</t>
  </si>
  <si>
    <t>الغراسات</t>
  </si>
  <si>
    <t>غير ذلك من المصاريف</t>
  </si>
  <si>
    <t>المال المتداول</t>
  </si>
  <si>
    <t>التمويل الذاتي</t>
  </si>
  <si>
    <t>منح الإستثمار</t>
  </si>
  <si>
    <t>إعتماد الإستثمار</t>
  </si>
  <si>
    <t>قروض</t>
  </si>
  <si>
    <t>العدد</t>
  </si>
  <si>
    <t>المنح</t>
  </si>
  <si>
    <t>الإستثمارات</t>
  </si>
  <si>
    <t xml:space="preserve">عمليات الإستثمار  المتمتعة </t>
  </si>
  <si>
    <t>نسبة التطور</t>
  </si>
  <si>
    <t xml:space="preserve">عدد العمليات </t>
  </si>
  <si>
    <t>مواطن الشغل</t>
  </si>
  <si>
    <t>عدد القروض</t>
  </si>
  <si>
    <t>مبلغ القروض (1000 دينارا)</t>
  </si>
  <si>
    <t xml:space="preserve">عمليات الإستثمار المتحصلة على الإمتيازات المالية </t>
  </si>
  <si>
    <t>توزيع حسب المناطق</t>
  </si>
  <si>
    <t xml:space="preserve">* منها </t>
  </si>
  <si>
    <t>شركات إحياء</t>
  </si>
  <si>
    <t>شركات مختلطة</t>
  </si>
  <si>
    <t>توزيع حسب المناطق والأنشطة</t>
  </si>
  <si>
    <t xml:space="preserve">المجموع </t>
  </si>
  <si>
    <t>النسبة</t>
  </si>
  <si>
    <t>المنح/الإستثمار</t>
  </si>
  <si>
    <t>تطور (%)</t>
  </si>
  <si>
    <t>وكالة النهوض بالاستثمارات</t>
  </si>
  <si>
    <t>العناصر</t>
  </si>
  <si>
    <t>مبلغ القروض</t>
  </si>
  <si>
    <t xml:space="preserve"> الجمهورية التونسية</t>
  </si>
  <si>
    <t xml:space="preserve">   القروض االعقارية</t>
  </si>
  <si>
    <t>مساحة  (هك)</t>
  </si>
  <si>
    <t>باعثون شبان</t>
  </si>
  <si>
    <t>توزيع الإستثمارات والمنح حسب الجهات</t>
  </si>
  <si>
    <t>توزيع الإستثمارات حسب الجهات</t>
  </si>
  <si>
    <t>توزيع حسب الجهات والأنشطة</t>
  </si>
  <si>
    <t>مواطنون بالخارج</t>
  </si>
  <si>
    <t xml:space="preserve">حوصلة حول إحصائيات الإستثمارات الفلاحية </t>
  </si>
  <si>
    <t>قيمة شراء الأراضي</t>
  </si>
  <si>
    <t xml:space="preserve"> الوحدة: ألف دينار</t>
  </si>
  <si>
    <t>تونس</t>
  </si>
  <si>
    <t>أريانة</t>
  </si>
  <si>
    <t>بن عروس</t>
  </si>
  <si>
    <t>نابل</t>
  </si>
  <si>
    <t>زغوان</t>
  </si>
  <si>
    <t>بنزرت</t>
  </si>
  <si>
    <t>منوبة</t>
  </si>
  <si>
    <t>الشمال الشرقي</t>
  </si>
  <si>
    <t>باجة</t>
  </si>
  <si>
    <t>جندوبة</t>
  </si>
  <si>
    <t>الكاف</t>
  </si>
  <si>
    <t>سليانة</t>
  </si>
  <si>
    <t>الشمال الغربي</t>
  </si>
  <si>
    <t>القيروان</t>
  </si>
  <si>
    <t>القصرين</t>
  </si>
  <si>
    <t>سيدي بوزيد</t>
  </si>
  <si>
    <t>الوسط الغربي</t>
  </si>
  <si>
    <t>سوسة</t>
  </si>
  <si>
    <t>المنستير</t>
  </si>
  <si>
    <t>المهدية</t>
  </si>
  <si>
    <t>صفاقس</t>
  </si>
  <si>
    <t>الوسط الشرقي</t>
  </si>
  <si>
    <t>قفصة</t>
  </si>
  <si>
    <t>توزر</t>
  </si>
  <si>
    <t>قبلي</t>
  </si>
  <si>
    <t>الجنوب الغربي</t>
  </si>
  <si>
    <t>قابس</t>
  </si>
  <si>
    <t>مدنين</t>
  </si>
  <si>
    <t>تطاوين</t>
  </si>
  <si>
    <t>الجنوب الشرقي</t>
  </si>
  <si>
    <t>الوحدة: مليون دينار</t>
  </si>
  <si>
    <t>المشاريع ذات المساهمات الأجنبية</t>
  </si>
  <si>
    <t>مــواطن الشغل</t>
  </si>
  <si>
    <t xml:space="preserve">      العــدد</t>
  </si>
  <si>
    <t>العــنــاصر</t>
  </si>
  <si>
    <t>إحداثات</t>
  </si>
  <si>
    <t>توسعة و تجديد</t>
  </si>
  <si>
    <t>التطور الشهري لمجموع الإستثمارات  المصادق عليها للحصول</t>
  </si>
  <si>
    <t xml:space="preserve">عمليات الإستثمار المصادق عليها للحصول على الإمتيازات المالية </t>
  </si>
  <si>
    <t xml:space="preserve">قيمة الإستثمارات المصادق عليها للحصول على الإمتيازات المالية </t>
  </si>
  <si>
    <t xml:space="preserve">  البناءات</t>
  </si>
  <si>
    <t xml:space="preserve">التهيئة  </t>
  </si>
  <si>
    <t xml:space="preserve">عمليات الإستثمار المتحصلة على وصل تصريح بالإستثمار </t>
  </si>
  <si>
    <t>قيمة الإستثمارات المتحصلة على وصل تصريح بالإستثمار</t>
  </si>
  <si>
    <t>عمليات الإستثمار المصادق عليها للحصول على الإمتيازات المالية</t>
  </si>
  <si>
    <t>ألف دينار</t>
  </si>
  <si>
    <t>المساحة هك</t>
  </si>
  <si>
    <t xml:space="preserve"> الشمال</t>
  </si>
  <si>
    <t xml:space="preserve"> الوسط</t>
  </si>
  <si>
    <t xml:space="preserve"> الجنوب</t>
  </si>
  <si>
    <t>نسبة التطور %</t>
  </si>
  <si>
    <t xml:space="preserve">القروض العقارية المصادق عليها  من طرف </t>
  </si>
  <si>
    <t xml:space="preserve">لجنة إسناد الإمتيازات </t>
  </si>
  <si>
    <t>عمليات الإستثمار المتحصلة على وصل  تصريح بالإستثمار</t>
  </si>
  <si>
    <t>التطور %</t>
  </si>
  <si>
    <t>التصاريح بالإستثمار</t>
  </si>
  <si>
    <t>التجهيزات المتنقلة</t>
  </si>
  <si>
    <t>فلاحة</t>
  </si>
  <si>
    <t>صيد بحري</t>
  </si>
  <si>
    <t>تربية أحياء مائية</t>
  </si>
  <si>
    <t>خدمات فلاحية</t>
  </si>
  <si>
    <t>التحويل الأولي المندمج</t>
  </si>
  <si>
    <t>وزارة الفلاحة والموارد المائية والصيد البحري</t>
  </si>
  <si>
    <t xml:space="preserve"> وزارة الفلاحة والموارد المائية والصيد البحري</t>
  </si>
  <si>
    <t>نساء باعثات</t>
  </si>
  <si>
    <t xml:space="preserve">بامتيازات قانون الإستثمار </t>
  </si>
  <si>
    <t xml:space="preserve"> المتمتعة بإمتيازات قانون الإستثمار</t>
  </si>
  <si>
    <t>على الإمتيازات المالية</t>
  </si>
  <si>
    <t>تطور النسبة  في هيكلة الإستثمار</t>
  </si>
  <si>
    <t xml:space="preserve">توزيع  حسب المكونات الأساسية </t>
  </si>
  <si>
    <t>الإستثمارات المصادق عليها</t>
  </si>
  <si>
    <t>الإستثمارات (1000 دينار)</t>
  </si>
  <si>
    <t xml:space="preserve">المنح ( 1000 دينار ) </t>
  </si>
  <si>
    <t xml:space="preserve"> إلى غاية شهر ديسمبر</t>
  </si>
  <si>
    <t>توزيع  حسب مصادر التمويل  إلى غاية شهر ديسمبر</t>
  </si>
  <si>
    <t>31 ديسمبر2022</t>
  </si>
  <si>
    <t>2022/2020</t>
  </si>
  <si>
    <t>2022/2021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</si>
</sst>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د.ت.&quot;;\-#,##0\ &quot;د.ت.&quot;"/>
    <numFmt numFmtId="165" formatCode="#,##0\ &quot;د.ت.&quot;;[Red]\-#,##0\ &quot;د.ت.&quot;"/>
    <numFmt numFmtId="166" formatCode="#,##0.00\ &quot;د.ت.&quot;;\-#,##0.00\ &quot;د.ت.&quot;"/>
    <numFmt numFmtId="167" formatCode="#,##0.00\ &quot;د.ت.&quot;;[Red]\-#,##0.00\ &quot;د.ت.&quot;"/>
    <numFmt numFmtId="168" formatCode="_-* #,##0\ &quot;د.ت.&quot;_-;\-* #,##0\ &quot;د.ت.&quot;_-;_-* &quot;-&quot;\ &quot;د.ت.&quot;_-;_-@_-"/>
    <numFmt numFmtId="169" formatCode="_-* #,##0\ _د_._ت_._‏_-;\-* #,##0\ _د_._ت_._‏_-;_-* &quot;-&quot;\ _د_._ت_._‏_-;_-@_-"/>
    <numFmt numFmtId="170" formatCode="_-* #,##0.00\ &quot;د.ت.&quot;_-;\-* #,##0.00\ &quot;د.ت.&quot;_-;_-* &quot;-&quot;??\ &quot;د.ت.&quot;_-;_-@_-"/>
    <numFmt numFmtId="171" formatCode="_-* #,##0.00\ _د_._ت_._‏_-;\-* #,##0.00\ _د_._ت_._‏_-;_-* &quot;-&quot;??\ _د_._ت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#\ ###\ ##0\ "/>
    <numFmt numFmtId="196" formatCode="0%\ "/>
    <numFmt numFmtId="197" formatCode="#\ ##0\ "/>
    <numFmt numFmtId="198" formatCode="#\ \ ##0\ "/>
    <numFmt numFmtId="199" formatCode="#\ ##0"/>
    <numFmt numFmtId="200" formatCode="0.000"/>
    <numFmt numFmtId="201" formatCode="#,###,##0"/>
    <numFmt numFmtId="202" formatCode="\ General"/>
    <numFmt numFmtId="203" formatCode="#\ ###\ ##0\ \ "/>
    <numFmt numFmtId="204" formatCode="%0\ \ "/>
    <numFmt numFmtId="205" formatCode="#\ ##0\ \ "/>
    <numFmt numFmtId="206" formatCode="%\ 0\ \ \ "/>
    <numFmt numFmtId="207" formatCode="%\ 0\ "/>
    <numFmt numFmtId="208" formatCode="\ \ %\ 0\ \ \ "/>
    <numFmt numFmtId="209" formatCode="#\ ###\ ##0"/>
    <numFmt numFmtId="210" formatCode="\ \ \ 0"/>
    <numFmt numFmtId="211" formatCode="\ \ \ 0\ \ "/>
    <numFmt numFmtId="212" formatCode="%\ 0,"/>
    <numFmt numFmtId="213" formatCode="0.0%"/>
    <numFmt numFmtId="214" formatCode="%\ #,#00\ "/>
    <numFmt numFmtId="215" formatCode="%0\.0\ \ "/>
    <numFmt numFmtId="216" formatCode="%0.0\ \ "/>
    <numFmt numFmtId="217" formatCode="#,###,##0.0"/>
    <numFmt numFmtId="218" formatCode="#,###,##0.00"/>
    <numFmt numFmtId="219" formatCode="#,###,##0.000"/>
    <numFmt numFmtId="220" formatCode="#,##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8"/>
      <name val="Times New Roman"/>
      <family val="1"/>
    </font>
    <font>
      <sz val="10"/>
      <color indexed="58"/>
      <name val="Times New Roman"/>
      <family val="1"/>
    </font>
    <font>
      <b/>
      <sz val="14"/>
      <name val="Times New Roman (Arabic)"/>
      <family val="1"/>
    </font>
    <font>
      <sz val="14"/>
      <name val="Times New Roman (Arabic)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 (Arabic)"/>
      <family val="1"/>
    </font>
    <font>
      <b/>
      <sz val="18"/>
      <name val="Times New Roman (Arabic)"/>
      <family val="1"/>
    </font>
    <font>
      <b/>
      <sz val="10"/>
      <name val="Times New Roman (Arabic)"/>
      <family val="1"/>
    </font>
    <font>
      <b/>
      <sz val="12"/>
      <name val="Times New Roman (Arabic)"/>
      <family val="1"/>
    </font>
    <font>
      <sz val="16"/>
      <name val="Times New Roman (Arabic)"/>
      <family val="1"/>
    </font>
    <font>
      <b/>
      <sz val="16"/>
      <name val="Times New Roman (Arabic)"/>
      <family val="1"/>
    </font>
    <font>
      <b/>
      <sz val="20"/>
      <name val="Times New Roman (Arabic)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393"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201" fontId="8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201" fontId="6" fillId="33" borderId="18" xfId="0" applyNumberFormat="1" applyFont="1" applyFill="1" applyBorder="1" applyAlignment="1">
      <alignment vertical="center"/>
    </xf>
    <xf numFmtId="201" fontId="6" fillId="33" borderId="0" xfId="0" applyNumberFormat="1" applyFont="1" applyFill="1" applyAlignment="1">
      <alignment vertical="center"/>
    </xf>
    <xf numFmtId="201" fontId="6" fillId="33" borderId="15" xfId="0" applyNumberFormat="1" applyFont="1" applyFill="1" applyBorder="1" applyAlignment="1">
      <alignment vertical="center"/>
    </xf>
    <xf numFmtId="201" fontId="6" fillId="33" borderId="0" xfId="0" applyNumberFormat="1" applyFont="1" applyFill="1" applyBorder="1" applyAlignment="1">
      <alignment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6" fillId="33" borderId="0" xfId="0" applyNumberFormat="1" applyFont="1" applyFill="1" applyBorder="1" applyAlignment="1">
      <alignment horizontal="centerContinuous" vertical="center"/>
    </xf>
    <xf numFmtId="201" fontId="8" fillId="33" borderId="0" xfId="0" applyNumberFormat="1" applyFont="1" applyFill="1" applyBorder="1" applyAlignment="1">
      <alignment vertical="center"/>
    </xf>
    <xf numFmtId="201" fontId="8" fillId="33" borderId="0" xfId="0" applyNumberFormat="1" applyFont="1" applyFill="1" applyBorder="1" applyAlignment="1">
      <alignment horizontal="centerContinuous" vertical="center"/>
    </xf>
    <xf numFmtId="201" fontId="7" fillId="33" borderId="0" xfId="0" applyNumberFormat="1" applyFont="1" applyFill="1" applyBorder="1" applyAlignment="1">
      <alignment horizontal="center" vertical="center"/>
    </xf>
    <xf numFmtId="201" fontId="8" fillId="33" borderId="0" xfId="0" applyNumberFormat="1" applyFont="1" applyFill="1" applyBorder="1" applyAlignment="1">
      <alignment horizontal="center" vertical="center"/>
    </xf>
    <xf numFmtId="201" fontId="7" fillId="33" borderId="0" xfId="0" applyNumberFormat="1" applyFont="1" applyFill="1" applyBorder="1" applyAlignment="1" quotePrefix="1">
      <alignment horizontal="center" vertical="center"/>
    </xf>
    <xf numFmtId="201" fontId="5" fillId="33" borderId="19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vertical="center"/>
    </xf>
    <xf numFmtId="201" fontId="6" fillId="33" borderId="19" xfId="0" applyNumberFormat="1" applyFont="1" applyFill="1" applyBorder="1" applyAlignment="1">
      <alignment vertical="center"/>
    </xf>
    <xf numFmtId="201" fontId="6" fillId="33" borderId="16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1" fontId="5" fillId="33" borderId="0" xfId="0" applyNumberFormat="1" applyFont="1" applyFill="1" applyAlignment="1">
      <alignment/>
    </xf>
    <xf numFmtId="201" fontId="6" fillId="33" borderId="0" xfId="0" applyNumberFormat="1" applyFont="1" applyFill="1" applyBorder="1" applyAlignment="1">
      <alignment horizontal="center" vertical="center"/>
    </xf>
    <xf numFmtId="201" fontId="5" fillId="33" borderId="15" xfId="0" applyNumberFormat="1" applyFont="1" applyFill="1" applyBorder="1" applyAlignment="1">
      <alignment horizontal="center" vertical="center"/>
    </xf>
    <xf numFmtId="201" fontId="8" fillId="33" borderId="14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Alignment="1">
      <alignment horizontal="center" vertical="center"/>
    </xf>
    <xf numFmtId="201" fontId="5" fillId="33" borderId="14" xfId="0" applyNumberFormat="1" applyFont="1" applyFill="1" applyBorder="1" applyAlignment="1">
      <alignment horizontal="center" vertical="center"/>
    </xf>
    <xf numFmtId="201" fontId="5" fillId="33" borderId="15" xfId="0" applyNumberFormat="1" applyFont="1" applyFill="1" applyBorder="1" applyAlignment="1">
      <alignment vertical="center"/>
    </xf>
    <xf numFmtId="201" fontId="5" fillId="33" borderId="0" xfId="0" applyNumberFormat="1" applyFont="1" applyFill="1" applyAlignment="1">
      <alignment vertical="center"/>
    </xf>
    <xf numFmtId="201" fontId="7" fillId="33" borderId="19" xfId="0" applyNumberFormat="1" applyFont="1" applyFill="1" applyBorder="1" applyAlignment="1">
      <alignment horizontal="center" vertical="center"/>
    </xf>
    <xf numFmtId="201" fontId="7" fillId="33" borderId="19" xfId="0" applyNumberFormat="1" applyFont="1" applyFill="1" applyBorder="1" applyAlignment="1" quotePrefix="1">
      <alignment horizontal="center" vertical="center"/>
    </xf>
    <xf numFmtId="201" fontId="6" fillId="33" borderId="19" xfId="0" applyNumberFormat="1" applyFont="1" applyFill="1" applyBorder="1" applyAlignment="1">
      <alignment horizontal="center" vertical="center"/>
    </xf>
    <xf numFmtId="201" fontId="6" fillId="33" borderId="19" xfId="0" applyNumberFormat="1" applyFont="1" applyFill="1" applyBorder="1" applyAlignment="1">
      <alignment horizontal="right" vertical="center"/>
    </xf>
    <xf numFmtId="201" fontId="6" fillId="33" borderId="0" xfId="0" applyNumberFormat="1" applyFont="1" applyFill="1" applyBorder="1" applyAlignment="1">
      <alignment horizontal="right" vertical="center"/>
    </xf>
    <xf numFmtId="201" fontId="5" fillId="33" borderId="19" xfId="0" applyNumberFormat="1" applyFont="1" applyFill="1" applyBorder="1" applyAlignment="1">
      <alignment horizontal="right" vertical="center"/>
    </xf>
    <xf numFmtId="201" fontId="6" fillId="33" borderId="20" xfId="0" applyNumberFormat="1" applyFont="1" applyFill="1" applyBorder="1" applyAlignment="1">
      <alignment vertical="center"/>
    </xf>
    <xf numFmtId="201" fontId="6" fillId="33" borderId="21" xfId="0" applyNumberFormat="1" applyFont="1" applyFill="1" applyBorder="1" applyAlignment="1">
      <alignment vertical="center"/>
    </xf>
    <xf numFmtId="201" fontId="6" fillId="33" borderId="22" xfId="0" applyNumberFormat="1" applyFont="1" applyFill="1" applyBorder="1" applyAlignment="1">
      <alignment vertical="center"/>
    </xf>
    <xf numFmtId="201" fontId="9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201" fontId="4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9" fontId="5" fillId="33" borderId="12" xfId="0" applyNumberFormat="1" applyFont="1" applyFill="1" applyBorder="1" applyAlignment="1">
      <alignment vertical="center"/>
    </xf>
    <xf numFmtId="201" fontId="5" fillId="33" borderId="0" xfId="0" applyNumberFormat="1" applyFont="1" applyFill="1" applyBorder="1" applyAlignment="1">
      <alignment horizontal="left" vertical="center"/>
    </xf>
    <xf numFmtId="203" fontId="5" fillId="33" borderId="12" xfId="0" applyNumberFormat="1" applyFont="1" applyFill="1" applyBorder="1" applyAlignment="1">
      <alignment vertical="center"/>
    </xf>
    <xf numFmtId="17" fontId="7" fillId="33" borderId="0" xfId="0" applyNumberFormat="1" applyFont="1" applyFill="1" applyBorder="1" applyAlignment="1" quotePrefix="1">
      <alignment horizontal="center"/>
    </xf>
    <xf numFmtId="201" fontId="6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01" fontId="6" fillId="33" borderId="10" xfId="0" applyNumberFormat="1" applyFont="1" applyFill="1" applyBorder="1" applyAlignment="1">
      <alignment vertical="center"/>
    </xf>
    <xf numFmtId="201" fontId="5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/>
    </xf>
    <xf numFmtId="196" fontId="5" fillId="33" borderId="0" xfId="0" applyNumberFormat="1" applyFont="1" applyFill="1" applyBorder="1" applyAlignment="1" quotePrefix="1">
      <alignment horizontal="right"/>
    </xf>
    <xf numFmtId="203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7" fillId="33" borderId="24" xfId="0" applyFont="1" applyFill="1" applyBorder="1" applyAlignment="1">
      <alignment horizontal="centerContinuous" vertical="center"/>
    </xf>
    <xf numFmtId="0" fontId="8" fillId="33" borderId="0" xfId="0" applyFont="1" applyFill="1" applyAlignment="1">
      <alignment horizontal="center" vertical="center"/>
    </xf>
    <xf numFmtId="201" fontId="5" fillId="33" borderId="2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201" fontId="4" fillId="33" borderId="12" xfId="0" applyNumberFormat="1" applyFont="1" applyFill="1" applyBorder="1" applyAlignment="1">
      <alignment horizontal="right" vertical="center" indent="1"/>
    </xf>
    <xf numFmtId="0" fontId="4" fillId="33" borderId="12" xfId="0" applyFont="1" applyFill="1" applyBorder="1" applyAlignment="1">
      <alignment horizontal="right" indent="1"/>
    </xf>
    <xf numFmtId="0" fontId="4" fillId="33" borderId="13" xfId="0" applyFont="1" applyFill="1" applyBorder="1" applyAlignment="1">
      <alignment horizontal="right" indent="1"/>
    </xf>
    <xf numFmtId="9" fontId="5" fillId="33" borderId="25" xfId="0" applyNumberFormat="1" applyFont="1" applyFill="1" applyBorder="1" applyAlignment="1">
      <alignment horizontal="right" vertical="center" indent="1"/>
    </xf>
    <xf numFmtId="200" fontId="15" fillId="33" borderId="0" xfId="0" applyNumberFormat="1" applyFont="1" applyFill="1" applyBorder="1" applyAlignment="1">
      <alignment horizontal="center" vertical="center"/>
    </xf>
    <xf numFmtId="201" fontId="16" fillId="33" borderId="0" xfId="0" applyNumberFormat="1" applyFont="1" applyFill="1" applyBorder="1" applyAlignment="1">
      <alignment horizontal="center" vertical="center"/>
    </xf>
    <xf numFmtId="201" fontId="17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/>
    </xf>
    <xf numFmtId="201" fontId="8" fillId="33" borderId="26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201" fontId="9" fillId="33" borderId="11" xfId="0" applyNumberFormat="1" applyFont="1" applyFill="1" applyBorder="1" applyAlignment="1">
      <alignment vertical="center"/>
    </xf>
    <xf numFmtId="201" fontId="7" fillId="33" borderId="0" xfId="0" applyNumberFormat="1" applyFont="1" applyFill="1" applyBorder="1" applyAlignment="1">
      <alignment vertical="center"/>
    </xf>
    <xf numFmtId="201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201" fontId="7" fillId="33" borderId="25" xfId="0" applyNumberFormat="1" applyFont="1" applyFill="1" applyBorder="1" applyAlignment="1">
      <alignment vertical="center"/>
    </xf>
    <xf numFmtId="201" fontId="9" fillId="33" borderId="25" xfId="0" applyNumberFormat="1" applyFont="1" applyFill="1" applyBorder="1" applyAlignment="1">
      <alignment vertical="center"/>
    </xf>
    <xf numFmtId="201" fontId="9" fillId="33" borderId="19" xfId="0" applyNumberFormat="1" applyFont="1" applyFill="1" applyBorder="1" applyAlignment="1">
      <alignment vertical="center"/>
    </xf>
    <xf numFmtId="201" fontId="9" fillId="33" borderId="22" xfId="0" applyNumberFormat="1" applyFont="1" applyFill="1" applyBorder="1" applyAlignment="1">
      <alignment vertical="center"/>
    </xf>
    <xf numFmtId="199" fontId="8" fillId="33" borderId="12" xfId="0" applyNumberFormat="1" applyFont="1" applyFill="1" applyBorder="1" applyAlignment="1">
      <alignment vertical="center"/>
    </xf>
    <xf numFmtId="199" fontId="8" fillId="33" borderId="25" xfId="0" applyNumberFormat="1" applyFont="1" applyFill="1" applyBorder="1" applyAlignment="1">
      <alignment horizontal="right" vertical="center"/>
    </xf>
    <xf numFmtId="199" fontId="8" fillId="33" borderId="25" xfId="0" applyNumberFormat="1" applyFont="1" applyFill="1" applyBorder="1" applyAlignment="1">
      <alignment vertical="center"/>
    </xf>
    <xf numFmtId="199" fontId="8" fillId="33" borderId="25" xfId="0" applyNumberFormat="1" applyFont="1" applyFill="1" applyBorder="1" applyAlignment="1">
      <alignment horizontal="right" vertical="center" indent="1"/>
    </xf>
    <xf numFmtId="204" fontId="8" fillId="33" borderId="12" xfId="0" applyNumberFormat="1" applyFont="1" applyFill="1" applyBorder="1" applyAlignment="1">
      <alignment vertical="center"/>
    </xf>
    <xf numFmtId="0" fontId="14" fillId="33" borderId="28" xfId="0" applyNumberFormat="1" applyFont="1" applyFill="1" applyBorder="1" applyAlignment="1">
      <alignment horizontal="center" vertical="center"/>
    </xf>
    <xf numFmtId="0" fontId="14" fillId="33" borderId="29" xfId="0" applyNumberFormat="1" applyFont="1" applyFill="1" applyBorder="1" applyAlignment="1">
      <alignment horizontal="center" vertical="center"/>
    </xf>
    <xf numFmtId="201" fontId="9" fillId="33" borderId="30" xfId="0" applyNumberFormat="1" applyFont="1" applyFill="1" applyBorder="1" applyAlignment="1">
      <alignment vertical="center"/>
    </xf>
    <xf numFmtId="196" fontId="5" fillId="33" borderId="31" xfId="0" applyNumberFormat="1" applyFont="1" applyFill="1" applyBorder="1" applyAlignment="1">
      <alignment vertical="center"/>
    </xf>
    <xf numFmtId="196" fontId="5" fillId="33" borderId="32" xfId="0" applyNumberFormat="1" applyFont="1" applyFill="1" applyBorder="1" applyAlignment="1">
      <alignment vertical="center"/>
    </xf>
    <xf numFmtId="1" fontId="5" fillId="33" borderId="33" xfId="0" applyNumberFormat="1" applyFont="1" applyFill="1" applyBorder="1" applyAlignment="1">
      <alignment vertical="center"/>
    </xf>
    <xf numFmtId="1" fontId="5" fillId="33" borderId="32" xfId="0" applyNumberFormat="1" applyFont="1" applyFill="1" applyBorder="1" applyAlignment="1">
      <alignment vertical="center"/>
    </xf>
    <xf numFmtId="1" fontId="5" fillId="33" borderId="34" xfId="0" applyNumberFormat="1" applyFont="1" applyFill="1" applyBorder="1" applyAlignment="1">
      <alignment horizontal="right" vertical="center"/>
    </xf>
    <xf numFmtId="201" fontId="9" fillId="33" borderId="34" xfId="0" applyNumberFormat="1" applyFont="1" applyFill="1" applyBorder="1" applyAlignment="1">
      <alignment vertical="center"/>
    </xf>
    <xf numFmtId="201" fontId="9" fillId="33" borderId="16" xfId="0" applyNumberFormat="1" applyFont="1" applyFill="1" applyBorder="1" applyAlignment="1">
      <alignment vertical="center"/>
    </xf>
    <xf numFmtId="201" fontId="9" fillId="33" borderId="17" xfId="0" applyNumberFormat="1" applyFont="1" applyFill="1" applyBorder="1" applyAlignment="1">
      <alignment vertical="center"/>
    </xf>
    <xf numFmtId="203" fontId="6" fillId="33" borderId="35" xfId="0" applyNumberFormat="1" applyFont="1" applyFill="1" applyBorder="1" applyAlignment="1">
      <alignment vertical="center"/>
    </xf>
    <xf numFmtId="0" fontId="14" fillId="33" borderId="31" xfId="0" applyNumberFormat="1" applyFont="1" applyFill="1" applyBorder="1" applyAlignment="1">
      <alignment horizontal="center" vertical="center"/>
    </xf>
    <xf numFmtId="0" fontId="14" fillId="33" borderId="32" xfId="0" applyNumberFormat="1" applyFont="1" applyFill="1" applyBorder="1" applyAlignment="1">
      <alignment horizontal="center" vertical="center"/>
    </xf>
    <xf numFmtId="194" fontId="5" fillId="33" borderId="26" xfId="0" applyNumberFormat="1" applyFont="1" applyFill="1" applyBorder="1" applyAlignment="1">
      <alignment horizontal="center" vertical="center"/>
    </xf>
    <xf numFmtId="201" fontId="8" fillId="33" borderId="36" xfId="0" applyNumberFormat="1" applyFont="1" applyFill="1" applyBorder="1" applyAlignment="1">
      <alignment horizontal="center" vertical="center"/>
    </xf>
    <xf numFmtId="201" fontId="8" fillId="33" borderId="37" xfId="0" applyNumberFormat="1" applyFont="1" applyFill="1" applyBorder="1" applyAlignment="1">
      <alignment horizontal="center" vertical="center"/>
    </xf>
    <xf numFmtId="201" fontId="8" fillId="33" borderId="38" xfId="0" applyNumberFormat="1" applyFont="1" applyFill="1" applyBorder="1" applyAlignment="1">
      <alignment horizontal="center" vertical="center"/>
    </xf>
    <xf numFmtId="194" fontId="8" fillId="33" borderId="39" xfId="0" applyNumberFormat="1" applyFont="1" applyFill="1" applyBorder="1" applyAlignment="1">
      <alignment horizontal="center" vertical="center"/>
    </xf>
    <xf numFmtId="205" fontId="8" fillId="33" borderId="14" xfId="0" applyNumberFormat="1" applyFont="1" applyFill="1" applyBorder="1" applyAlignment="1">
      <alignment horizontal="right" vertical="center"/>
    </xf>
    <xf numFmtId="197" fontId="4" fillId="33" borderId="12" xfId="0" applyNumberFormat="1" applyFont="1" applyFill="1" applyBorder="1" applyAlignment="1">
      <alignment/>
    </xf>
    <xf numFmtId="197" fontId="8" fillId="33" borderId="14" xfId="0" applyNumberFormat="1" applyFont="1" applyFill="1" applyBorder="1" applyAlignment="1">
      <alignment/>
    </xf>
    <xf numFmtId="197" fontId="8" fillId="33" borderId="14" xfId="0" applyNumberFormat="1" applyFont="1" applyFill="1" applyBorder="1" applyAlignment="1">
      <alignment vertical="center"/>
    </xf>
    <xf numFmtId="197" fontId="8" fillId="33" borderId="12" xfId="0" applyNumberFormat="1" applyFont="1" applyFill="1" applyBorder="1" applyAlignment="1">
      <alignment/>
    </xf>
    <xf numFmtId="197" fontId="4" fillId="33" borderId="13" xfId="0" applyNumberFormat="1" applyFont="1" applyFill="1" applyBorder="1" applyAlignment="1">
      <alignment/>
    </xf>
    <xf numFmtId="1" fontId="8" fillId="33" borderId="14" xfId="0" applyNumberFormat="1" applyFont="1" applyFill="1" applyBorder="1" applyAlignment="1">
      <alignment horizontal="center"/>
    </xf>
    <xf numFmtId="203" fontId="4" fillId="33" borderId="12" xfId="0" applyNumberFormat="1" applyFont="1" applyFill="1" applyBorder="1" applyAlignment="1">
      <alignment horizontal="right" vertical="center"/>
    </xf>
    <xf numFmtId="203" fontId="8" fillId="33" borderId="14" xfId="0" applyNumberFormat="1" applyFont="1" applyFill="1" applyBorder="1" applyAlignment="1">
      <alignment horizontal="right" vertical="center"/>
    </xf>
    <xf numFmtId="203" fontId="8" fillId="33" borderId="11" xfId="0" applyNumberFormat="1" applyFont="1" applyFill="1" applyBorder="1" applyAlignment="1">
      <alignment horizontal="right" vertical="center"/>
    </xf>
    <xf numFmtId="196" fontId="8" fillId="33" borderId="14" xfId="0" applyNumberFormat="1" applyFont="1" applyFill="1" applyBorder="1" applyAlignment="1">
      <alignment vertical="center"/>
    </xf>
    <xf numFmtId="201" fontId="7" fillId="33" borderId="27" xfId="0" applyNumberFormat="1" applyFont="1" applyFill="1" applyBorder="1" applyAlignment="1">
      <alignment horizontal="center" vertical="center"/>
    </xf>
    <xf numFmtId="9" fontId="8" fillId="33" borderId="14" xfId="0" applyNumberFormat="1" applyFont="1" applyFill="1" applyBorder="1" applyAlignment="1">
      <alignment vertical="center"/>
    </xf>
    <xf numFmtId="201" fontId="7" fillId="33" borderId="23" xfId="0" applyNumberFormat="1" applyFont="1" applyFill="1" applyBorder="1" applyAlignment="1">
      <alignment horizontal="center" vertical="center"/>
    </xf>
    <xf numFmtId="205" fontId="9" fillId="33" borderId="10" xfId="0" applyNumberFormat="1" applyFont="1" applyFill="1" applyBorder="1" applyAlignment="1">
      <alignment horizontal="right" vertical="center"/>
    </xf>
    <xf numFmtId="205" fontId="9" fillId="33" borderId="19" xfId="0" applyNumberFormat="1" applyFont="1" applyFill="1" applyBorder="1" applyAlignment="1">
      <alignment horizontal="right" vertical="center"/>
    </xf>
    <xf numFmtId="205" fontId="9" fillId="33" borderId="22" xfId="0" applyNumberFormat="1" applyFont="1" applyFill="1" applyBorder="1" applyAlignment="1">
      <alignment horizontal="right" vertical="center"/>
    </xf>
    <xf numFmtId="205" fontId="7" fillId="33" borderId="20" xfId="0" applyNumberFormat="1" applyFont="1" applyFill="1" applyBorder="1" applyAlignment="1">
      <alignment horizontal="right" vertical="center"/>
    </xf>
    <xf numFmtId="201" fontId="7" fillId="33" borderId="14" xfId="0" applyNumberFormat="1" applyFont="1" applyFill="1" applyBorder="1" applyAlignment="1">
      <alignment horizontal="center" vertical="center"/>
    </xf>
    <xf numFmtId="201" fontId="9" fillId="33" borderId="12" xfId="0" applyNumberFormat="1" applyFont="1" applyFill="1" applyBorder="1" applyAlignment="1">
      <alignment vertical="center"/>
    </xf>
    <xf numFmtId="201" fontId="9" fillId="33" borderId="13" xfId="0" applyNumberFormat="1" applyFont="1" applyFill="1" applyBorder="1" applyAlignment="1">
      <alignment vertical="center"/>
    </xf>
    <xf numFmtId="205" fontId="9" fillId="33" borderId="24" xfId="0" applyNumberFormat="1" applyFont="1" applyFill="1" applyBorder="1" applyAlignment="1">
      <alignment horizontal="right" vertical="center"/>
    </xf>
    <xf numFmtId="205" fontId="9" fillId="33" borderId="0" xfId="0" applyNumberFormat="1" applyFont="1" applyFill="1" applyBorder="1" applyAlignment="1">
      <alignment horizontal="right" vertical="center"/>
    </xf>
    <xf numFmtId="205" fontId="7" fillId="33" borderId="27" xfId="0" applyNumberFormat="1" applyFont="1" applyFill="1" applyBorder="1" applyAlignment="1">
      <alignment vertical="center"/>
    </xf>
    <xf numFmtId="205" fontId="7" fillId="33" borderId="27" xfId="0" applyNumberFormat="1" applyFont="1" applyFill="1" applyBorder="1" applyAlignment="1">
      <alignment horizontal="right" vertical="center"/>
    </xf>
    <xf numFmtId="201" fontId="21" fillId="33" borderId="0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horizontal="right" vertical="center" indent="1"/>
    </xf>
    <xf numFmtId="0" fontId="10" fillId="33" borderId="27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205" fontId="9" fillId="33" borderId="25" xfId="0" applyNumberFormat="1" applyFont="1" applyFill="1" applyBorder="1" applyAlignment="1">
      <alignment horizontal="right" vertical="center"/>
    </xf>
    <xf numFmtId="205" fontId="7" fillId="33" borderId="14" xfId="0" applyNumberFormat="1" applyFont="1" applyFill="1" applyBorder="1" applyAlignment="1">
      <alignment horizontal="right" vertical="center"/>
    </xf>
    <xf numFmtId="205" fontId="9" fillId="33" borderId="12" xfId="0" applyNumberFormat="1" applyFont="1" applyFill="1" applyBorder="1" applyAlignment="1">
      <alignment horizontal="right" vertical="center"/>
    </xf>
    <xf numFmtId="205" fontId="4" fillId="33" borderId="12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20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196" fontId="18" fillId="33" borderId="0" xfId="0" applyNumberFormat="1" applyFont="1" applyFill="1" applyBorder="1" applyAlignment="1">
      <alignment horizontal="right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203" fontId="19" fillId="33" borderId="26" xfId="0" applyNumberFormat="1" applyFont="1" applyFill="1" applyBorder="1" applyAlignment="1">
      <alignment horizontal="right" vertical="center"/>
    </xf>
    <xf numFmtId="0" fontId="18" fillId="33" borderId="14" xfId="0" applyFont="1" applyFill="1" applyBorder="1" applyAlignment="1">
      <alignment vertical="center"/>
    </xf>
    <xf numFmtId="203" fontId="18" fillId="33" borderId="14" xfId="0" applyNumberFormat="1" applyFont="1" applyFill="1" applyBorder="1" applyAlignment="1">
      <alignment horizontal="right" vertical="center"/>
    </xf>
    <xf numFmtId="9" fontId="18" fillId="33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 quotePrefix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01" fontId="18" fillId="33" borderId="0" xfId="0" applyNumberFormat="1" applyFont="1" applyFill="1" applyBorder="1" applyAlignment="1">
      <alignment vertical="center"/>
    </xf>
    <xf numFmtId="201" fontId="23" fillId="33" borderId="0" xfId="0" applyNumberFormat="1" applyFont="1" applyFill="1" applyBorder="1" applyAlignment="1">
      <alignment horizontal="center" vertical="center"/>
    </xf>
    <xf numFmtId="198" fontId="26" fillId="33" borderId="11" xfId="0" applyNumberFormat="1" applyFont="1" applyFill="1" applyBorder="1" applyAlignment="1">
      <alignment vertical="center"/>
    </xf>
    <xf numFmtId="0" fontId="26" fillId="33" borderId="11" xfId="0" applyFont="1" applyFill="1" applyBorder="1" applyAlignment="1">
      <alignment vertical="center"/>
    </xf>
    <xf numFmtId="198" fontId="27" fillId="33" borderId="14" xfId="0" applyNumberFormat="1" applyFont="1" applyFill="1" applyBorder="1" applyAlignment="1">
      <alignment vertical="center"/>
    </xf>
    <xf numFmtId="0" fontId="27" fillId="33" borderId="26" xfId="0" applyFont="1" applyFill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203" fontId="19" fillId="33" borderId="12" xfId="0" applyNumberFormat="1" applyFont="1" applyFill="1" applyBorder="1" applyAlignment="1">
      <alignment horizontal="right" vertical="center"/>
    </xf>
    <xf numFmtId="0" fontId="18" fillId="33" borderId="43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198" fontId="26" fillId="33" borderId="13" xfId="0" applyNumberFormat="1" applyFont="1" applyFill="1" applyBorder="1" applyAlignment="1">
      <alignment vertical="center"/>
    </xf>
    <xf numFmtId="0" fontId="26" fillId="33" borderId="13" xfId="0" applyFont="1" applyFill="1" applyBorder="1" applyAlignment="1">
      <alignment vertical="center"/>
    </xf>
    <xf numFmtId="213" fontId="9" fillId="33" borderId="12" xfId="0" applyNumberFormat="1" applyFont="1" applyFill="1" applyBorder="1" applyAlignment="1">
      <alignment vertical="center"/>
    </xf>
    <xf numFmtId="213" fontId="7" fillId="33" borderId="14" xfId="0" applyNumberFormat="1" applyFont="1" applyFill="1" applyBorder="1" applyAlignment="1">
      <alignment vertical="center"/>
    </xf>
    <xf numFmtId="213" fontId="9" fillId="33" borderId="19" xfId="0" applyNumberFormat="1" applyFont="1" applyFill="1" applyBorder="1" applyAlignment="1">
      <alignment vertical="center"/>
    </xf>
    <xf numFmtId="213" fontId="9" fillId="33" borderId="14" xfId="0" applyNumberFormat="1" applyFont="1" applyFill="1" applyBorder="1" applyAlignment="1">
      <alignment vertical="center"/>
    </xf>
    <xf numFmtId="10" fontId="9" fillId="33" borderId="12" xfId="0" applyNumberFormat="1" applyFont="1" applyFill="1" applyBorder="1" applyAlignment="1">
      <alignment vertical="center"/>
    </xf>
    <xf numFmtId="10" fontId="9" fillId="33" borderId="11" xfId="0" applyNumberFormat="1" applyFont="1" applyFill="1" applyBorder="1" applyAlignment="1">
      <alignment vertical="center"/>
    </xf>
    <xf numFmtId="10" fontId="9" fillId="33" borderId="13" xfId="0" applyNumberFormat="1" applyFont="1" applyFill="1" applyBorder="1" applyAlignment="1">
      <alignment vertical="center"/>
    </xf>
    <xf numFmtId="10" fontId="7" fillId="33" borderId="20" xfId="0" applyNumberFormat="1" applyFont="1" applyFill="1" applyBorder="1" applyAlignment="1">
      <alignment vertical="center"/>
    </xf>
    <xf numFmtId="213" fontId="9" fillId="33" borderId="11" xfId="0" applyNumberFormat="1" applyFont="1" applyFill="1" applyBorder="1" applyAlignment="1">
      <alignment vertical="center"/>
    </xf>
    <xf numFmtId="213" fontId="9" fillId="33" borderId="13" xfId="0" applyNumberFormat="1" applyFont="1" applyFill="1" applyBorder="1" applyAlignment="1">
      <alignment vertical="center"/>
    </xf>
    <xf numFmtId="213" fontId="9" fillId="33" borderId="0" xfId="0" applyNumberFormat="1" applyFont="1" applyFill="1" applyBorder="1" applyAlignment="1">
      <alignment horizontal="right" vertical="center"/>
    </xf>
    <xf numFmtId="201" fontId="7" fillId="33" borderId="25" xfId="0" applyNumberFormat="1" applyFont="1" applyFill="1" applyBorder="1" applyAlignment="1">
      <alignment horizontal="center" vertical="center"/>
    </xf>
    <xf numFmtId="213" fontId="7" fillId="33" borderId="0" xfId="0" applyNumberFormat="1" applyFont="1" applyFill="1" applyBorder="1" applyAlignment="1">
      <alignment vertical="center"/>
    </xf>
    <xf numFmtId="10" fontId="7" fillId="33" borderId="0" xfId="0" applyNumberFormat="1" applyFont="1" applyFill="1" applyBorder="1" applyAlignment="1">
      <alignment vertical="center"/>
    </xf>
    <xf numFmtId="205" fontId="7" fillId="33" borderId="0" xfId="0" applyNumberFormat="1" applyFont="1" applyFill="1" applyBorder="1" applyAlignment="1">
      <alignment vertical="center"/>
    </xf>
    <xf numFmtId="205" fontId="7" fillId="33" borderId="0" xfId="0" applyNumberFormat="1" applyFont="1" applyFill="1" applyBorder="1" applyAlignment="1">
      <alignment horizontal="right" vertical="center"/>
    </xf>
    <xf numFmtId="216" fontId="8" fillId="33" borderId="15" xfId="0" applyNumberFormat="1" applyFont="1" applyFill="1" applyBorder="1" applyAlignment="1">
      <alignment vertical="center"/>
    </xf>
    <xf numFmtId="204" fontId="8" fillId="33" borderId="15" xfId="0" applyNumberFormat="1" applyFont="1" applyFill="1" applyBorder="1" applyAlignment="1">
      <alignment vertical="center"/>
    </xf>
    <xf numFmtId="216" fontId="8" fillId="33" borderId="12" xfId="0" applyNumberFormat="1" applyFont="1" applyFill="1" applyBorder="1" applyAlignment="1">
      <alignment vertical="center"/>
    </xf>
    <xf numFmtId="216" fontId="4" fillId="33" borderId="12" xfId="0" applyNumberFormat="1" applyFont="1" applyFill="1" applyBorder="1" applyAlignment="1">
      <alignment horizontal="right"/>
    </xf>
    <xf numFmtId="216" fontId="8" fillId="33" borderId="14" xfId="0" applyNumberFormat="1" applyFont="1" applyFill="1" applyBorder="1" applyAlignment="1">
      <alignment horizontal="right"/>
    </xf>
    <xf numFmtId="216" fontId="8" fillId="33" borderId="11" xfId="0" applyNumberFormat="1" applyFont="1" applyFill="1" applyBorder="1" applyAlignment="1">
      <alignment horizontal="right"/>
    </xf>
    <xf numFmtId="216" fontId="4" fillId="33" borderId="11" xfId="0" applyNumberFormat="1" applyFont="1" applyFill="1" applyBorder="1" applyAlignment="1">
      <alignment horizontal="right"/>
    </xf>
    <xf numFmtId="216" fontId="4" fillId="33" borderId="13" xfId="0" applyNumberFormat="1" applyFont="1" applyFill="1" applyBorder="1" applyAlignment="1">
      <alignment horizontal="right"/>
    </xf>
    <xf numFmtId="216" fontId="4" fillId="33" borderId="12" xfId="0" applyNumberFormat="1" applyFont="1" applyFill="1" applyBorder="1" applyAlignment="1">
      <alignment horizontal="right" vertical="center"/>
    </xf>
    <xf numFmtId="216" fontId="8" fillId="33" borderId="14" xfId="0" applyNumberFormat="1" applyFont="1" applyFill="1" applyBorder="1" applyAlignment="1">
      <alignment horizontal="right" vertical="center"/>
    </xf>
    <xf numFmtId="216" fontId="9" fillId="33" borderId="19" xfId="0" applyNumberFormat="1" applyFont="1" applyFill="1" applyBorder="1" applyAlignment="1">
      <alignment horizontal="right" vertical="center"/>
    </xf>
    <xf numFmtId="216" fontId="7" fillId="33" borderId="26" xfId="0" applyNumberFormat="1" applyFont="1" applyFill="1" applyBorder="1" applyAlignment="1">
      <alignment horizontal="right" vertical="center"/>
    </xf>
    <xf numFmtId="216" fontId="7" fillId="33" borderId="14" xfId="0" applyNumberFormat="1" applyFont="1" applyFill="1" applyBorder="1" applyAlignment="1">
      <alignment horizontal="right" vertical="center"/>
    </xf>
    <xf numFmtId="216" fontId="9" fillId="33" borderId="25" xfId="0" applyNumberFormat="1" applyFont="1" applyFill="1" applyBorder="1" applyAlignment="1">
      <alignment horizontal="right" vertical="center"/>
    </xf>
    <xf numFmtId="216" fontId="9" fillId="33" borderId="12" xfId="0" applyNumberFormat="1" applyFont="1" applyFill="1" applyBorder="1" applyAlignment="1">
      <alignment horizontal="right" vertical="center"/>
    </xf>
    <xf numFmtId="216" fontId="7" fillId="33" borderId="27" xfId="0" applyNumberFormat="1" applyFont="1" applyFill="1" applyBorder="1" applyAlignment="1">
      <alignment horizontal="right" vertical="center"/>
    </xf>
    <xf numFmtId="216" fontId="18" fillId="33" borderId="14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 vertical="center" readingOrder="2"/>
    </xf>
    <xf numFmtId="0" fontId="7" fillId="33" borderId="25" xfId="0" applyFont="1" applyFill="1" applyBorder="1" applyAlignment="1">
      <alignment horizontal="centerContinuous" vertical="center"/>
    </xf>
    <xf numFmtId="194" fontId="8" fillId="33" borderId="32" xfId="0" applyNumberFormat="1" applyFont="1" applyFill="1" applyBorder="1" applyAlignment="1">
      <alignment horizontal="center" vertical="center"/>
    </xf>
    <xf numFmtId="201" fontId="8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/>
    </xf>
    <xf numFmtId="213" fontId="9" fillId="33" borderId="0" xfId="0" applyNumberFormat="1" applyFont="1" applyFill="1" applyBorder="1" applyAlignment="1">
      <alignment vertical="center"/>
    </xf>
    <xf numFmtId="213" fontId="7" fillId="33" borderId="0" xfId="0" applyNumberFormat="1" applyFont="1" applyFill="1" applyBorder="1" applyAlignment="1">
      <alignment horizontal="right" vertical="center"/>
    </xf>
    <xf numFmtId="201" fontId="9" fillId="33" borderId="19" xfId="0" applyNumberFormat="1" applyFont="1" applyFill="1" applyBorder="1" applyAlignment="1">
      <alignment horizontal="right" vertical="center"/>
    </xf>
    <xf numFmtId="219" fontId="6" fillId="33" borderId="0" xfId="0" applyNumberFormat="1" applyFont="1" applyFill="1" applyAlignment="1">
      <alignment vertical="center"/>
    </xf>
    <xf numFmtId="216" fontId="4" fillId="34" borderId="12" xfId="0" applyNumberFormat="1" applyFont="1" applyFill="1" applyBorder="1" applyAlignment="1">
      <alignment horizontal="right"/>
    </xf>
    <xf numFmtId="197" fontId="4" fillId="34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right" indent="1"/>
    </xf>
    <xf numFmtId="194" fontId="8" fillId="34" borderId="39" xfId="0" applyNumberFormat="1" applyFont="1" applyFill="1" applyBorder="1" applyAlignment="1">
      <alignment horizontal="center" vertical="center"/>
    </xf>
    <xf numFmtId="9" fontId="6" fillId="33" borderId="0" xfId="52" applyFont="1" applyFill="1" applyAlignment="1">
      <alignment vertical="center"/>
    </xf>
    <xf numFmtId="200" fontId="0" fillId="0" borderId="0" xfId="0" applyNumberFormat="1" applyAlignment="1">
      <alignment/>
    </xf>
    <xf numFmtId="194" fontId="8" fillId="0" borderId="39" xfId="0" applyNumberFormat="1" applyFont="1" applyFill="1" applyBorder="1" applyAlignment="1">
      <alignment horizontal="center" vertical="center"/>
    </xf>
    <xf numFmtId="194" fontId="8" fillId="0" borderId="44" xfId="0" applyNumberFormat="1" applyFont="1" applyFill="1" applyBorder="1" applyAlignment="1">
      <alignment vertical="center"/>
    </xf>
    <xf numFmtId="203" fontId="8" fillId="0" borderId="14" xfId="0" applyNumberFormat="1" applyFont="1" applyFill="1" applyBorder="1" applyAlignment="1">
      <alignment horizontal="right" vertical="center"/>
    </xf>
    <xf numFmtId="220" fontId="6" fillId="33" borderId="0" xfId="0" applyNumberFormat="1" applyFont="1" applyFill="1" applyAlignment="1">
      <alignment vertical="center"/>
    </xf>
    <xf numFmtId="220" fontId="6" fillId="33" borderId="0" xfId="0" applyNumberFormat="1" applyFont="1" applyFill="1" applyAlignment="1">
      <alignment horizontal="center" vertical="center"/>
    </xf>
    <xf numFmtId="213" fontId="6" fillId="33" borderId="0" xfId="0" applyNumberFormat="1" applyFont="1" applyFill="1" applyAlignment="1">
      <alignment vertical="center"/>
    </xf>
    <xf numFmtId="211" fontId="5" fillId="34" borderId="42" xfId="0" applyNumberFormat="1" applyFont="1" applyFill="1" applyBorder="1" applyAlignment="1">
      <alignment vertical="center"/>
    </xf>
    <xf numFmtId="211" fontId="5" fillId="34" borderId="41" xfId="0" applyNumberFormat="1" applyFont="1" applyFill="1" applyBorder="1" applyAlignment="1">
      <alignment vertical="center"/>
    </xf>
    <xf numFmtId="201" fontId="6" fillId="35" borderId="0" xfId="0" applyNumberFormat="1" applyFont="1" applyFill="1" applyAlignment="1">
      <alignment vertical="center"/>
    </xf>
    <xf numFmtId="197" fontId="63" fillId="33" borderId="12" xfId="0" applyNumberFormat="1" applyFont="1" applyFill="1" applyBorder="1" applyAlignment="1">
      <alignment/>
    </xf>
    <xf numFmtId="201" fontId="20" fillId="33" borderId="0" xfId="0" applyNumberFormat="1" applyFont="1" applyFill="1" applyBorder="1" applyAlignment="1">
      <alignment horizontal="center" vertical="center"/>
    </xf>
    <xf numFmtId="201" fontId="7" fillId="33" borderId="0" xfId="0" applyNumberFormat="1" applyFont="1" applyFill="1" applyBorder="1" applyAlignment="1">
      <alignment horizontal="center" vertical="center"/>
    </xf>
    <xf numFmtId="201" fontId="7" fillId="33" borderId="30" xfId="0" applyNumberFormat="1" applyFont="1" applyFill="1" applyBorder="1" applyAlignment="1">
      <alignment horizontal="center" vertical="center"/>
    </xf>
    <xf numFmtId="209" fontId="8" fillId="33" borderId="29" xfId="0" applyNumberFormat="1" applyFont="1" applyFill="1" applyBorder="1" applyAlignment="1">
      <alignment horizontal="center" vertical="center"/>
    </xf>
    <xf numFmtId="209" fontId="8" fillId="33" borderId="32" xfId="0" applyNumberFormat="1" applyFont="1" applyFill="1" applyBorder="1" applyAlignment="1">
      <alignment horizontal="center" vertical="center"/>
    </xf>
    <xf numFmtId="201" fontId="8" fillId="33" borderId="0" xfId="0" applyNumberFormat="1" applyFont="1" applyFill="1" applyBorder="1" applyAlignment="1">
      <alignment horizontal="center" vertical="center"/>
    </xf>
    <xf numFmtId="201" fontId="8" fillId="33" borderId="0" xfId="0" applyNumberFormat="1" applyFont="1" applyFill="1" applyBorder="1" applyAlignment="1">
      <alignment horizontal="right" vertical="center"/>
    </xf>
    <xf numFmtId="201" fontId="7" fillId="33" borderId="46" xfId="0" applyNumberFormat="1" applyFont="1" applyFill="1" applyBorder="1" applyAlignment="1">
      <alignment horizontal="center" vertical="center" wrapText="1"/>
    </xf>
    <xf numFmtId="201" fontId="7" fillId="33" borderId="18" xfId="0" applyNumberFormat="1" applyFont="1" applyFill="1" applyBorder="1" applyAlignment="1">
      <alignment horizontal="center" vertical="center" wrapText="1"/>
    </xf>
    <xf numFmtId="201" fontId="7" fillId="33" borderId="47" xfId="0" applyNumberFormat="1" applyFont="1" applyFill="1" applyBorder="1" applyAlignment="1">
      <alignment horizontal="center" vertical="center" wrapText="1"/>
    </xf>
    <xf numFmtId="201" fontId="9" fillId="33" borderId="0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 readingOrder="2"/>
    </xf>
    <xf numFmtId="201" fontId="5" fillId="33" borderId="0" xfId="0" applyNumberFormat="1" applyFont="1" applyFill="1" applyBorder="1" applyAlignment="1">
      <alignment horizontal="center" vertical="center"/>
    </xf>
    <xf numFmtId="201" fontId="7" fillId="33" borderId="34" xfId="0" applyNumberFormat="1" applyFont="1" applyFill="1" applyBorder="1" applyAlignment="1">
      <alignment horizontal="center" vertical="center"/>
    </xf>
    <xf numFmtId="201" fontId="7" fillId="33" borderId="16" xfId="0" applyNumberFormat="1" applyFont="1" applyFill="1" applyBorder="1" applyAlignment="1">
      <alignment horizontal="center" vertical="center"/>
    </xf>
    <xf numFmtId="201" fontId="7" fillId="33" borderId="17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17" fontId="7" fillId="33" borderId="0" xfId="0" applyNumberFormat="1" applyFont="1" applyFill="1" applyBorder="1" applyAlignment="1" quotePrefix="1">
      <alignment horizontal="center"/>
    </xf>
    <xf numFmtId="195" fontId="7" fillId="33" borderId="20" xfId="0" applyNumberFormat="1" applyFont="1" applyFill="1" applyBorder="1" applyAlignment="1">
      <alignment horizontal="center"/>
    </xf>
    <xf numFmtId="195" fontId="7" fillId="33" borderId="21" xfId="0" applyNumberFormat="1" applyFont="1" applyFill="1" applyBorder="1" applyAlignment="1">
      <alignment horizontal="center"/>
    </xf>
    <xf numFmtId="195" fontId="7" fillId="33" borderId="26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95" fontId="7" fillId="33" borderId="27" xfId="0" applyNumberFormat="1" applyFont="1" applyFill="1" applyBorder="1" applyAlignment="1">
      <alignment horizontal="center"/>
    </xf>
    <xf numFmtId="195" fontId="7" fillId="33" borderId="48" xfId="0" applyNumberFormat="1" applyFont="1" applyFill="1" applyBorder="1" applyAlignment="1">
      <alignment horizontal="center"/>
    </xf>
    <xf numFmtId="201" fontId="8" fillId="33" borderId="11" xfId="0" applyNumberFormat="1" applyFont="1" applyFill="1" applyBorder="1" applyAlignment="1">
      <alignment horizontal="center" vertical="center"/>
    </xf>
    <xf numFmtId="201" fontId="6" fillId="33" borderId="12" xfId="0" applyNumberFormat="1" applyFont="1" applyFill="1" applyBorder="1" applyAlignment="1">
      <alignment horizontal="center" vertical="center"/>
    </xf>
    <xf numFmtId="201" fontId="6" fillId="33" borderId="13" xfId="0" applyNumberFormat="1" applyFont="1" applyFill="1" applyBorder="1" applyAlignment="1">
      <alignment vertical="center"/>
    </xf>
    <xf numFmtId="201" fontId="5" fillId="33" borderId="23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6" fillId="33" borderId="20" xfId="0" applyNumberFormat="1" applyFont="1" applyFill="1" applyBorder="1" applyAlignment="1">
      <alignment horizontal="center" vertical="center" wrapText="1"/>
    </xf>
    <xf numFmtId="201" fontId="6" fillId="33" borderId="22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/>
    </xf>
    <xf numFmtId="201" fontId="5" fillId="33" borderId="10" xfId="0" applyNumberFormat="1" applyFont="1" applyFill="1" applyBorder="1" applyAlignment="1">
      <alignment horizontal="center" vertical="center"/>
    </xf>
    <xf numFmtId="201" fontId="5" fillId="33" borderId="20" xfId="0" applyNumberFormat="1" applyFont="1" applyFill="1" applyBorder="1" applyAlignment="1">
      <alignment horizontal="center" vertical="center"/>
    </xf>
    <xf numFmtId="201" fontId="5" fillId="33" borderId="22" xfId="0" applyNumberFormat="1" applyFont="1" applyFill="1" applyBorder="1" applyAlignment="1">
      <alignment horizontal="center" vertical="center"/>
    </xf>
    <xf numFmtId="201" fontId="5" fillId="33" borderId="15" xfId="0" applyNumberFormat="1" applyFont="1" applyFill="1" applyBorder="1" applyAlignment="1">
      <alignment horizontal="center" vertical="center"/>
    </xf>
    <xf numFmtId="201" fontId="5" fillId="33" borderId="20" xfId="0" applyNumberFormat="1" applyFont="1" applyFill="1" applyBorder="1" applyAlignment="1">
      <alignment horizontal="center" vertical="center" wrapText="1"/>
    </xf>
    <xf numFmtId="201" fontId="5" fillId="33" borderId="22" xfId="0" applyNumberFormat="1" applyFont="1" applyFill="1" applyBorder="1" applyAlignment="1">
      <alignment horizontal="center" vertical="center" wrapText="1"/>
    </xf>
    <xf numFmtId="201" fontId="5" fillId="33" borderId="0" xfId="0" applyNumberFormat="1" applyFont="1" applyFill="1" applyBorder="1" applyAlignment="1">
      <alignment horizontal="right" vertical="center"/>
    </xf>
    <xf numFmtId="201" fontId="6" fillId="33" borderId="20" xfId="0" applyNumberFormat="1" applyFont="1" applyFill="1" applyBorder="1" applyAlignment="1">
      <alignment horizontal="center" vertical="center"/>
    </xf>
    <xf numFmtId="201" fontId="6" fillId="33" borderId="22" xfId="0" applyNumberFormat="1" applyFont="1" applyFill="1" applyBorder="1" applyAlignment="1">
      <alignment horizontal="center" vertical="center"/>
    </xf>
    <xf numFmtId="201" fontId="5" fillId="33" borderId="25" xfId="0" applyNumberFormat="1" applyFont="1" applyFill="1" applyBorder="1" applyAlignment="1">
      <alignment horizontal="center" vertical="center"/>
    </xf>
    <xf numFmtId="201" fontId="5" fillId="33" borderId="19" xfId="0" applyNumberFormat="1" applyFont="1" applyFill="1" applyBorder="1" applyAlignment="1">
      <alignment horizontal="center" vertical="center"/>
    </xf>
    <xf numFmtId="201" fontId="10" fillId="33" borderId="25" xfId="0" applyNumberFormat="1" applyFont="1" applyFill="1" applyBorder="1" applyAlignment="1">
      <alignment horizontal="center" vertical="center"/>
    </xf>
    <xf numFmtId="201" fontId="10" fillId="33" borderId="19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213" fontId="9" fillId="33" borderId="23" xfId="0" applyNumberFormat="1" applyFont="1" applyFill="1" applyBorder="1" applyAlignment="1">
      <alignment horizontal="center" vertical="center"/>
    </xf>
    <xf numFmtId="213" fontId="9" fillId="33" borderId="10" xfId="0" applyNumberFormat="1" applyFont="1" applyFill="1" applyBorder="1" applyAlignment="1">
      <alignment horizontal="center" vertical="center"/>
    </xf>
    <xf numFmtId="213" fontId="9" fillId="33" borderId="25" xfId="0" applyNumberFormat="1" applyFont="1" applyFill="1" applyBorder="1" applyAlignment="1">
      <alignment horizontal="center" vertical="center"/>
    </xf>
    <xf numFmtId="213" fontId="9" fillId="33" borderId="19" xfId="0" applyNumberFormat="1" applyFont="1" applyFill="1" applyBorder="1" applyAlignment="1">
      <alignment horizontal="center" vertical="center"/>
    </xf>
    <xf numFmtId="213" fontId="9" fillId="33" borderId="20" xfId="0" applyNumberFormat="1" applyFont="1" applyFill="1" applyBorder="1" applyAlignment="1">
      <alignment horizontal="center" vertical="center"/>
    </xf>
    <xf numFmtId="213" fontId="9" fillId="33" borderId="22" xfId="0" applyNumberFormat="1" applyFont="1" applyFill="1" applyBorder="1" applyAlignment="1">
      <alignment horizontal="center" vertical="center"/>
    </xf>
    <xf numFmtId="201" fontId="6" fillId="33" borderId="27" xfId="0" applyNumberFormat="1" applyFont="1" applyFill="1" applyBorder="1" applyAlignment="1">
      <alignment horizontal="center" vertical="center"/>
    </xf>
    <xf numFmtId="201" fontId="6" fillId="33" borderId="26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 readingOrder="2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33" borderId="48" xfId="0" applyNumberFormat="1" applyFont="1" applyFill="1" applyBorder="1" applyAlignment="1">
      <alignment horizontal="center" vertical="center"/>
    </xf>
    <xf numFmtId="201" fontId="7" fillId="33" borderId="11" xfId="0" applyNumberFormat="1" applyFont="1" applyFill="1" applyBorder="1" applyAlignment="1">
      <alignment horizontal="center" vertical="center"/>
    </xf>
    <xf numFmtId="201" fontId="7" fillId="33" borderId="13" xfId="0" applyNumberFormat="1" applyFont="1" applyFill="1" applyBorder="1" applyAlignment="1">
      <alignment horizontal="center" vertical="center"/>
    </xf>
    <xf numFmtId="201" fontId="7" fillId="33" borderId="12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201" fontId="28" fillId="33" borderId="0" xfId="0" applyNumberFormat="1" applyFont="1" applyFill="1" applyBorder="1" applyAlignment="1">
      <alignment horizontal="center" vertical="center"/>
    </xf>
    <xf numFmtId="205" fontId="26" fillId="0" borderId="27" xfId="0" applyNumberFormat="1" applyFont="1" applyBorder="1" applyAlignment="1">
      <alignment vertical="center"/>
    </xf>
    <xf numFmtId="205" fontId="26" fillId="0" borderId="26" xfId="0" applyNumberFormat="1" applyFont="1" applyBorder="1" applyAlignment="1">
      <alignment vertical="center"/>
    </xf>
    <xf numFmtId="205" fontId="26" fillId="0" borderId="49" xfId="0" applyNumberFormat="1" applyFont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216" fontId="26" fillId="0" borderId="27" xfId="0" applyNumberFormat="1" applyFont="1" applyBorder="1" applyAlignment="1">
      <alignment horizontal="right" vertical="center"/>
    </xf>
    <xf numFmtId="216" fontId="26" fillId="0" borderId="26" xfId="0" applyNumberFormat="1" applyFont="1" applyBorder="1" applyAlignment="1">
      <alignment horizontal="right" vertical="center"/>
    </xf>
    <xf numFmtId="205" fontId="27" fillId="0" borderId="49" xfId="0" applyNumberFormat="1" applyFont="1" applyBorder="1" applyAlignment="1">
      <alignment vertical="center"/>
    </xf>
    <xf numFmtId="205" fontId="27" fillId="0" borderId="26" xfId="0" applyNumberFormat="1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205" fontId="27" fillId="0" borderId="27" xfId="0" applyNumberFormat="1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216" fontId="27" fillId="0" borderId="50" xfId="0" applyNumberFormat="1" applyFont="1" applyBorder="1" applyAlignment="1">
      <alignment horizontal="right" vertical="center"/>
    </xf>
    <xf numFmtId="216" fontId="27" fillId="0" borderId="51" xfId="0" applyNumberFormat="1" applyFont="1" applyBorder="1" applyAlignment="1">
      <alignment horizontal="right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205" fontId="19" fillId="0" borderId="20" xfId="0" applyNumberFormat="1" applyFont="1" applyBorder="1" applyAlignment="1">
      <alignment vertical="center"/>
    </xf>
    <xf numFmtId="205" fontId="19" fillId="0" borderId="22" xfId="0" applyNumberFormat="1" applyFont="1" applyBorder="1" applyAlignment="1">
      <alignment vertical="center"/>
    </xf>
    <xf numFmtId="0" fontId="19" fillId="33" borderId="27" xfId="0" applyFont="1" applyFill="1" applyBorder="1" applyAlignment="1">
      <alignment horizontal="right" vertical="center"/>
    </xf>
    <xf numFmtId="0" fontId="19" fillId="33" borderId="48" xfId="0" applyFont="1" applyFill="1" applyBorder="1" applyAlignment="1">
      <alignment horizontal="right" vertical="center"/>
    </xf>
    <xf numFmtId="0" fontId="19" fillId="33" borderId="26" xfId="0" applyFont="1" applyFill="1" applyBorder="1" applyAlignment="1">
      <alignment horizontal="right" vertical="center"/>
    </xf>
    <xf numFmtId="0" fontId="18" fillId="33" borderId="27" xfId="0" applyFont="1" applyFill="1" applyBorder="1" applyAlignment="1">
      <alignment horizontal="right" vertical="center"/>
    </xf>
    <xf numFmtId="0" fontId="18" fillId="33" borderId="48" xfId="0" applyFont="1" applyFill="1" applyBorder="1" applyAlignment="1">
      <alignment horizontal="right" vertical="center"/>
    </xf>
    <xf numFmtId="0" fontId="18" fillId="33" borderId="26" xfId="0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right" vertical="center"/>
    </xf>
    <xf numFmtId="0" fontId="19" fillId="33" borderId="21" xfId="0" applyFont="1" applyFill="1" applyBorder="1" applyAlignment="1">
      <alignment horizontal="right" vertical="center"/>
    </xf>
    <xf numFmtId="0" fontId="19" fillId="33" borderId="22" xfId="0" applyFont="1" applyFill="1" applyBorder="1" applyAlignment="1">
      <alignment horizontal="right" vertical="center"/>
    </xf>
    <xf numFmtId="0" fontId="18" fillId="33" borderId="61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205" fontId="19" fillId="0" borderId="61" xfId="0" applyNumberFormat="1" applyFont="1" applyBorder="1" applyAlignment="1">
      <alignment vertical="center"/>
    </xf>
    <xf numFmtId="205" fontId="19" fillId="0" borderId="62" xfId="0" applyNumberFormat="1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15</xdr:col>
      <xdr:colOff>333375</xdr:colOff>
      <xdr:row>46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66675" y="0"/>
          <a:ext cx="7791450" cy="1165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276225</xdr:colOff>
      <xdr:row>46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7800975" cy="1159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11</xdr:col>
      <xdr:colOff>209550</xdr:colOff>
      <xdr:row>57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95250" y="19050"/>
          <a:ext cx="7400925" cy="11430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11</xdr:col>
      <xdr:colOff>276225</xdr:colOff>
      <xdr:row>57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161925" y="85725"/>
          <a:ext cx="7400925" cy="1138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400050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1049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390525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1039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18</xdr:col>
      <xdr:colOff>19050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38100" y="0"/>
          <a:ext cx="11239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46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9258300" cy="769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15</xdr:col>
      <xdr:colOff>0</xdr:colOff>
      <xdr:row>44</xdr:row>
      <xdr:rowOff>0</xdr:rowOff>
    </xdr:to>
    <xdr:sp>
      <xdr:nvSpPr>
        <xdr:cNvPr id="5" name="Rectangle 8"/>
        <xdr:cNvSpPr>
          <a:spLocks/>
        </xdr:cNvSpPr>
      </xdr:nvSpPr>
      <xdr:spPr>
        <a:xfrm>
          <a:off x="38100" y="38100"/>
          <a:ext cx="9220200" cy="765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171700" y="0"/>
          <a:ext cx="7219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171700" y="0"/>
          <a:ext cx="7219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0</xdr:colOff>
      <xdr:row>56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85725" y="0"/>
          <a:ext cx="7610475" cy="1178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8</xdr:col>
      <xdr:colOff>647700</xdr:colOff>
      <xdr:row>56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66675" y="38100"/>
          <a:ext cx="7562850" cy="1169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142875</xdr:colOff>
      <xdr:row>46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8575" y="0"/>
          <a:ext cx="8058150" cy="1172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10</xdr:col>
      <xdr:colOff>209550</xdr:colOff>
      <xdr:row>46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7150" y="38100"/>
          <a:ext cx="8096250" cy="1172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76200</xdr:colOff>
      <xdr:row>46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0" y="76200"/>
          <a:ext cx="6600825" cy="10306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133350</xdr:rowOff>
    </xdr:from>
    <xdr:to>
      <xdr:col>9</xdr:col>
      <xdr:colOff>76200</xdr:colOff>
      <xdr:row>47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050" y="133350"/>
          <a:ext cx="6581775" cy="1034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114300</xdr:rowOff>
    </xdr:from>
    <xdr:to>
      <xdr:col>9</xdr:col>
      <xdr:colOff>85725</xdr:colOff>
      <xdr:row>45</xdr:row>
      <xdr:rowOff>476250</xdr:rowOff>
    </xdr:to>
    <xdr:sp>
      <xdr:nvSpPr>
        <xdr:cNvPr id="3" name="Rectangle 3"/>
        <xdr:cNvSpPr>
          <a:spLocks/>
        </xdr:cNvSpPr>
      </xdr:nvSpPr>
      <xdr:spPr>
        <a:xfrm>
          <a:off x="66675" y="114300"/>
          <a:ext cx="6543675" cy="10163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400050</xdr:colOff>
      <xdr:row>0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0" y="0"/>
          <a:ext cx="11715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18</xdr:col>
      <xdr:colOff>19050</xdr:colOff>
      <xdr:row>0</xdr:row>
      <xdr:rowOff>0</xdr:rowOff>
    </xdr:to>
    <xdr:sp>
      <xdr:nvSpPr>
        <xdr:cNvPr id="2" name="Rectangle 30"/>
        <xdr:cNvSpPr>
          <a:spLocks/>
        </xdr:cNvSpPr>
      </xdr:nvSpPr>
      <xdr:spPr>
        <a:xfrm>
          <a:off x="38100" y="0"/>
          <a:ext cx="1190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11</xdr:col>
      <xdr:colOff>1019175</xdr:colOff>
      <xdr:row>62</xdr:row>
      <xdr:rowOff>152400</xdr:rowOff>
    </xdr:to>
    <xdr:sp>
      <xdr:nvSpPr>
        <xdr:cNvPr id="1" name="Rectangle 8"/>
        <xdr:cNvSpPr>
          <a:spLocks/>
        </xdr:cNvSpPr>
      </xdr:nvSpPr>
      <xdr:spPr>
        <a:xfrm>
          <a:off x="66675" y="76200"/>
          <a:ext cx="10563225" cy="1607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142875</xdr:rowOff>
    </xdr:from>
    <xdr:to>
      <xdr:col>11</xdr:col>
      <xdr:colOff>1095375</xdr:colOff>
      <xdr:row>62</xdr:row>
      <xdr:rowOff>142875</xdr:rowOff>
    </xdr:to>
    <xdr:sp>
      <xdr:nvSpPr>
        <xdr:cNvPr id="2" name="Rectangle 9"/>
        <xdr:cNvSpPr>
          <a:spLocks/>
        </xdr:cNvSpPr>
      </xdr:nvSpPr>
      <xdr:spPr>
        <a:xfrm>
          <a:off x="142875" y="142875"/>
          <a:ext cx="10563225" cy="1600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view="pageBreakPreview" zoomScaleSheetLayoutView="100" zoomScalePageLayoutView="0" workbookViewId="0" topLeftCell="B28">
      <selection activeCell="G23" sqref="G23"/>
    </sheetView>
  </sheetViews>
  <sheetFormatPr defaultColWidth="6.7109375" defaultRowHeight="12.75"/>
  <cols>
    <col min="1" max="1" width="2.8515625" style="26" customWidth="1"/>
    <col min="2" max="2" width="6.8515625" style="24" customWidth="1"/>
    <col min="3" max="4" width="10.28125" style="24" bestFit="1" customWidth="1"/>
    <col min="5" max="5" width="9.7109375" style="24" customWidth="1"/>
    <col min="6" max="6" width="9.57421875" style="24" bestFit="1" customWidth="1"/>
    <col min="7" max="7" width="9.8515625" style="24" customWidth="1"/>
    <col min="8" max="10" width="7.7109375" style="24" customWidth="1"/>
    <col min="11" max="11" width="7.28125" style="24" bestFit="1" customWidth="1"/>
    <col min="12" max="12" width="7.7109375" style="24" customWidth="1"/>
    <col min="13" max="13" width="8.140625" style="24" bestFit="1" customWidth="1"/>
    <col min="14" max="14" width="7.140625" style="24" bestFit="1" customWidth="1"/>
    <col min="15" max="15" width="0.13671875" style="24" hidden="1" customWidth="1"/>
    <col min="16" max="16" width="5.421875" style="24" customWidth="1"/>
    <col min="17" max="17" width="6.7109375" style="26" customWidth="1"/>
    <col min="18" max="16384" width="6.7109375" style="24" customWidth="1"/>
  </cols>
  <sheetData>
    <row r="1" spans="2:16" ht="11.2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6" ht="12.7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6" ht="15.75">
      <c r="A3" s="271" t="s">
        <v>24</v>
      </c>
      <c r="B3" s="271"/>
      <c r="C3" s="271"/>
      <c r="D3" s="271"/>
      <c r="E3" s="271"/>
      <c r="F3" s="271"/>
      <c r="G3" s="27"/>
      <c r="I3" s="67"/>
      <c r="J3" s="26"/>
      <c r="K3" s="272" t="s">
        <v>23</v>
      </c>
      <c r="L3" s="272"/>
      <c r="M3" s="272"/>
      <c r="N3" s="272"/>
      <c r="O3" s="272"/>
      <c r="P3" s="67"/>
      <c r="R3" s="26"/>
      <c r="S3" s="26"/>
      <c r="T3" s="26"/>
      <c r="U3" s="26"/>
      <c r="V3" s="26"/>
      <c r="W3" s="26"/>
      <c r="X3" s="26"/>
      <c r="Y3" s="26"/>
      <c r="Z3" s="26"/>
    </row>
    <row r="4" spans="1:26" ht="15.75">
      <c r="A4" s="271" t="s">
        <v>21</v>
      </c>
      <c r="B4" s="271"/>
      <c r="C4" s="271"/>
      <c r="D4" s="271"/>
      <c r="E4" s="271"/>
      <c r="F4" s="271"/>
      <c r="G4" s="27"/>
      <c r="I4" s="67"/>
      <c r="J4" s="272" t="s">
        <v>130</v>
      </c>
      <c r="K4" s="272"/>
      <c r="L4" s="272"/>
      <c r="M4" s="272"/>
      <c r="N4" s="272"/>
      <c r="O4" s="272"/>
      <c r="P4" s="67"/>
      <c r="R4" s="26"/>
      <c r="S4" s="26"/>
      <c r="T4" s="26"/>
      <c r="U4" s="26"/>
      <c r="V4" s="26"/>
      <c r="W4" s="26"/>
      <c r="X4" s="26"/>
      <c r="Y4" s="26"/>
      <c r="Z4" s="26"/>
    </row>
    <row r="5" spans="2:26" ht="50.25" customHeight="1">
      <c r="B5" s="26"/>
      <c r="C5" s="28" t="s">
        <v>0</v>
      </c>
      <c r="D5" s="28"/>
      <c r="E5" s="28"/>
      <c r="F5" s="28"/>
      <c r="G5" s="28"/>
      <c r="H5" s="28"/>
      <c r="I5" s="28"/>
      <c r="J5" s="29"/>
      <c r="K5" s="29"/>
      <c r="L5" s="29"/>
      <c r="M5" s="29"/>
      <c r="N5" s="29"/>
      <c r="O5" s="30"/>
      <c r="P5" s="26"/>
      <c r="R5" s="26"/>
      <c r="S5" s="26"/>
      <c r="T5" s="26"/>
      <c r="U5" s="26"/>
      <c r="V5" s="26"/>
      <c r="W5" s="26"/>
      <c r="X5" s="26"/>
      <c r="Y5" s="26"/>
      <c r="Z5" s="26"/>
    </row>
    <row r="6" spans="2:26" ht="15.75">
      <c r="B6" s="26"/>
      <c r="C6" s="28"/>
      <c r="D6" s="28"/>
      <c r="E6" s="28"/>
      <c r="F6" s="28"/>
      <c r="G6" s="28"/>
      <c r="H6" s="28"/>
      <c r="I6" s="28"/>
      <c r="J6" s="29"/>
      <c r="K6" s="29"/>
      <c r="L6" s="29"/>
      <c r="M6" s="29"/>
      <c r="N6" s="29"/>
      <c r="O6" s="30"/>
      <c r="P6" s="26"/>
      <c r="R6" s="26"/>
      <c r="S6" s="26"/>
      <c r="T6" s="26"/>
      <c r="U6" s="26"/>
      <c r="V6" s="26"/>
      <c r="W6" s="26"/>
      <c r="X6" s="26"/>
      <c r="Y6" s="26"/>
      <c r="Z6" s="26"/>
    </row>
    <row r="7" spans="2:26" ht="24.75" customHeight="1">
      <c r="B7" s="26"/>
      <c r="C7" s="266" t="s">
        <v>65</v>
      </c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104"/>
      <c r="O7" s="104"/>
      <c r="P7" s="104"/>
      <c r="R7" s="26"/>
      <c r="S7" s="26"/>
      <c r="T7" s="26"/>
      <c r="U7" s="26"/>
      <c r="V7" s="26"/>
      <c r="W7" s="26"/>
      <c r="X7" s="26"/>
      <c r="Y7" s="26"/>
      <c r="Z7" s="26"/>
    </row>
    <row r="8" spans="2:26" ht="26.25" customHeight="1">
      <c r="B8" s="26"/>
      <c r="C8" s="266" t="s">
        <v>134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104"/>
      <c r="O8" s="104"/>
      <c r="P8" s="104"/>
      <c r="R8" s="26"/>
      <c r="S8" s="26"/>
      <c r="T8" s="26"/>
      <c r="U8" s="26"/>
      <c r="V8" s="26"/>
      <c r="W8" s="26"/>
      <c r="X8" s="26"/>
      <c r="Y8" s="26"/>
      <c r="Z8" s="26"/>
    </row>
    <row r="9" spans="2:26" ht="22.5">
      <c r="B9" s="26"/>
      <c r="C9" s="266" t="s">
        <v>141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104"/>
      <c r="O9" s="104"/>
      <c r="P9" s="104"/>
      <c r="R9" s="26"/>
      <c r="S9" s="26"/>
      <c r="T9" s="26"/>
      <c r="U9" s="26"/>
      <c r="V9" s="26"/>
      <c r="W9" s="26"/>
      <c r="X9" s="26"/>
      <c r="Y9" s="26"/>
      <c r="Z9" s="26"/>
    </row>
    <row r="10" spans="2:26" ht="15.75">
      <c r="B10" s="2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R10" s="26"/>
      <c r="S10" s="26"/>
      <c r="T10" s="26"/>
      <c r="U10" s="26"/>
      <c r="V10" s="26"/>
      <c r="W10" s="26"/>
      <c r="X10" s="26"/>
      <c r="Y10" s="26"/>
      <c r="Z10" s="26"/>
    </row>
    <row r="11" spans="2:26" ht="16.5" thickBot="1">
      <c r="B11" s="26"/>
      <c r="C11" s="277" t="s">
        <v>143</v>
      </c>
      <c r="D11" s="277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R11" s="26"/>
      <c r="S11" s="26"/>
      <c r="T11" s="26"/>
      <c r="U11" s="26"/>
      <c r="V11" s="26"/>
      <c r="W11" s="26"/>
      <c r="X11" s="26"/>
      <c r="Y11" s="26"/>
      <c r="Z11" s="26"/>
    </row>
    <row r="12" spans="2:21" ht="24.75" customHeight="1">
      <c r="B12" s="26"/>
      <c r="C12" s="115" t="s">
        <v>39</v>
      </c>
      <c r="D12" s="116" t="s">
        <v>39</v>
      </c>
      <c r="E12" s="269">
        <v>2022</v>
      </c>
      <c r="F12" s="269">
        <v>2021</v>
      </c>
      <c r="G12" s="269">
        <v>2020</v>
      </c>
      <c r="H12" s="273" t="s">
        <v>38</v>
      </c>
      <c r="I12" s="274"/>
      <c r="J12" s="274"/>
      <c r="K12" s="274"/>
      <c r="L12" s="274"/>
      <c r="M12" s="275"/>
      <c r="N12" s="73"/>
      <c r="O12" s="72"/>
      <c r="U12" s="264"/>
    </row>
    <row r="13" spans="2:15" ht="18.75" customHeight="1" thickBot="1">
      <c r="B13" s="26"/>
      <c r="C13" s="127" t="s">
        <v>145</v>
      </c>
      <c r="D13" s="128" t="s">
        <v>144</v>
      </c>
      <c r="E13" s="270"/>
      <c r="F13" s="270"/>
      <c r="G13" s="270"/>
      <c r="H13" s="279" t="s">
        <v>133</v>
      </c>
      <c r="I13" s="280"/>
      <c r="J13" s="280"/>
      <c r="K13" s="280"/>
      <c r="L13" s="280"/>
      <c r="M13" s="281"/>
      <c r="N13" s="67"/>
      <c r="O13" s="36"/>
    </row>
    <row r="14" spans="2:15" ht="18.75">
      <c r="B14" s="26"/>
      <c r="C14" s="126"/>
      <c r="D14" s="68"/>
      <c r="E14" s="68"/>
      <c r="F14" s="66"/>
      <c r="G14" s="92"/>
      <c r="H14" s="106"/>
      <c r="I14" s="103"/>
      <c r="J14" s="62"/>
      <c r="K14" s="267" t="s">
        <v>123</v>
      </c>
      <c r="L14" s="267"/>
      <c r="M14" s="268"/>
      <c r="N14" s="64"/>
      <c r="O14" s="72"/>
    </row>
    <row r="15" spans="2:15" ht="24.75" customHeight="1">
      <c r="B15" s="26"/>
      <c r="C15" s="223">
        <f>(E15-F15)/F15</f>
        <v>-0.024759903961584635</v>
      </c>
      <c r="D15" s="225">
        <f>(E15-G15)/G15</f>
        <v>-0.03704252481849163</v>
      </c>
      <c r="E15" s="110">
        <f>'P6'!F45</f>
        <v>6499</v>
      </c>
      <c r="F15" s="110">
        <f>'P6'!G45</f>
        <v>6664</v>
      </c>
      <c r="G15" s="111">
        <v>6749</v>
      </c>
      <c r="H15" s="107"/>
      <c r="I15" s="62"/>
      <c r="J15" s="62"/>
      <c r="K15" s="62"/>
      <c r="L15" s="62" t="s">
        <v>40</v>
      </c>
      <c r="M15" s="117"/>
      <c r="N15" s="64"/>
      <c r="O15" s="36"/>
    </row>
    <row r="16" spans="2:15" ht="24.75" customHeight="1">
      <c r="B16" s="26"/>
      <c r="C16" s="223">
        <f>(E16-F16)/F16</f>
        <v>0.005025505670220402</v>
      </c>
      <c r="D16" s="225">
        <f>(E16-G16)/G16</f>
        <v>0.0737483846737916</v>
      </c>
      <c r="E16" s="110">
        <f>'P6'!C45</f>
        <v>1315159.2340000002</v>
      </c>
      <c r="F16" s="110">
        <f>'P6'!D45</f>
        <v>1308582.943</v>
      </c>
      <c r="G16" s="112">
        <v>1224830</v>
      </c>
      <c r="H16" s="107"/>
      <c r="I16" s="62"/>
      <c r="J16" s="62"/>
      <c r="K16" s="62"/>
      <c r="L16" s="62" t="s">
        <v>139</v>
      </c>
      <c r="M16" s="117"/>
      <c r="N16" s="64"/>
      <c r="O16" s="36"/>
    </row>
    <row r="17" spans="2:15" ht="18.75">
      <c r="B17" s="26"/>
      <c r="C17" s="224"/>
      <c r="D17" s="114"/>
      <c r="E17" s="110"/>
      <c r="F17" s="110"/>
      <c r="G17" s="112"/>
      <c r="H17" s="107"/>
      <c r="I17" s="62" t="s">
        <v>0</v>
      </c>
      <c r="J17" s="62"/>
      <c r="K17" s="62"/>
      <c r="L17" s="62"/>
      <c r="M17" s="117"/>
      <c r="N17" s="64"/>
      <c r="O17" s="36"/>
    </row>
    <row r="18" spans="2:15" ht="18.75">
      <c r="B18" s="26"/>
      <c r="C18" s="224"/>
      <c r="D18" s="114"/>
      <c r="E18" s="110"/>
      <c r="F18" s="110"/>
      <c r="G18" s="112"/>
      <c r="H18" s="106"/>
      <c r="I18" s="103"/>
      <c r="J18" s="267" t="s">
        <v>138</v>
      </c>
      <c r="K18" s="267"/>
      <c r="L18" s="267"/>
      <c r="M18" s="268"/>
      <c r="N18" s="64"/>
      <c r="O18" s="36"/>
    </row>
    <row r="19" spans="2:24" ht="24.75" customHeight="1">
      <c r="B19" s="26"/>
      <c r="C19" s="223">
        <f>(E19-F19)/F19</f>
        <v>-0.03972563589597028</v>
      </c>
      <c r="D19" s="225">
        <f>(E19-G19)/G19</f>
        <v>-0.02040816326530612</v>
      </c>
      <c r="E19" s="110">
        <f>'P2'!I44</f>
        <v>3360</v>
      </c>
      <c r="F19" s="110">
        <f>'P2'!J44</f>
        <v>3499</v>
      </c>
      <c r="G19" s="112">
        <v>3430</v>
      </c>
      <c r="H19" s="107"/>
      <c r="I19" s="62"/>
      <c r="J19" s="62"/>
      <c r="K19" s="62"/>
      <c r="L19" s="62" t="s">
        <v>40</v>
      </c>
      <c r="M19" s="117"/>
      <c r="N19" s="64"/>
      <c r="O19" s="36"/>
      <c r="X19" s="259"/>
    </row>
    <row r="20" spans="2:15" ht="24.75" customHeight="1">
      <c r="B20" s="26"/>
      <c r="C20" s="223">
        <f>(E20-F20)/F20</f>
        <v>0.10267107837904024</v>
      </c>
      <c r="D20" s="225">
        <f>(E20-G20)/G20</f>
        <v>0.256469062991924</v>
      </c>
      <c r="E20" s="110">
        <f>'P2'!F44</f>
        <v>636154.0560000001</v>
      </c>
      <c r="F20" s="110">
        <f>'P2'!G44</f>
        <v>576920.959</v>
      </c>
      <c r="G20" s="112">
        <v>506303</v>
      </c>
      <c r="H20" s="107"/>
      <c r="I20" s="62"/>
      <c r="J20" s="62"/>
      <c r="K20" s="62"/>
      <c r="L20" s="62" t="s">
        <v>139</v>
      </c>
      <c r="M20" s="117"/>
      <c r="N20" s="64"/>
      <c r="O20" s="36"/>
    </row>
    <row r="21" spans="2:15" ht="24.75" customHeight="1">
      <c r="B21" s="26"/>
      <c r="C21" s="223">
        <f>(E21-F21)/F21</f>
        <v>-0.17420708955223882</v>
      </c>
      <c r="D21" s="225">
        <f>(E21-G21)/G21</f>
        <v>-0.10693568726355612</v>
      </c>
      <c r="E21" s="110">
        <f>'P2'!C44</f>
        <v>3541</v>
      </c>
      <c r="F21" s="110">
        <f>'P2'!D44</f>
        <v>4288</v>
      </c>
      <c r="G21" s="112">
        <v>3965</v>
      </c>
      <c r="H21" s="107"/>
      <c r="I21" s="62"/>
      <c r="J21" s="62"/>
      <c r="K21" s="62"/>
      <c r="L21" s="62" t="s">
        <v>41</v>
      </c>
      <c r="M21" s="117"/>
      <c r="N21" s="64"/>
      <c r="O21" s="36"/>
    </row>
    <row r="22" spans="2:15" ht="18.75">
      <c r="B22" s="26"/>
      <c r="C22" s="223">
        <f>(E22-F22)/F22</f>
        <v>0.02330850339979682</v>
      </c>
      <c r="D22" s="225">
        <f>(E22-G22)/G22</f>
        <v>0.13217684089392467</v>
      </c>
      <c r="E22" s="110">
        <f>'P5'!E43</f>
        <v>166269.2265</v>
      </c>
      <c r="F22" s="110">
        <f>'P5'!H43</f>
        <v>162482.01392599999</v>
      </c>
      <c r="G22" s="112">
        <v>146858</v>
      </c>
      <c r="H22" s="107"/>
      <c r="I22" s="62"/>
      <c r="J22" s="276" t="s">
        <v>140</v>
      </c>
      <c r="K22" s="276"/>
      <c r="L22" s="276"/>
      <c r="M22" s="117"/>
      <c r="N22" s="64"/>
      <c r="O22" s="36"/>
    </row>
    <row r="23" spans="2:15" ht="18.75">
      <c r="B23" s="26"/>
      <c r="C23" s="224"/>
      <c r="D23" s="225"/>
      <c r="E23" s="110"/>
      <c r="F23" s="110"/>
      <c r="G23" s="113"/>
      <c r="H23" s="106"/>
      <c r="I23" s="103"/>
      <c r="J23" s="62"/>
      <c r="K23" s="267" t="s">
        <v>58</v>
      </c>
      <c r="L23" s="267"/>
      <c r="M23" s="268"/>
      <c r="N23" s="64"/>
      <c r="O23" s="36"/>
    </row>
    <row r="24" spans="2:15" ht="24.75" customHeight="1">
      <c r="B24" s="26"/>
      <c r="C24" s="223">
        <f>(E24-F24)/F24</f>
        <v>-0.13432835820895522</v>
      </c>
      <c r="D24" s="225">
        <f>(E24-G24)/G24</f>
        <v>-0.01694915254237288</v>
      </c>
      <c r="E24" s="110">
        <f>'P8'!I22</f>
        <v>58</v>
      </c>
      <c r="F24" s="110">
        <f>'P8'!I17</f>
        <v>67</v>
      </c>
      <c r="G24" s="112">
        <v>59</v>
      </c>
      <c r="H24" s="107"/>
      <c r="I24" s="62"/>
      <c r="J24" s="62"/>
      <c r="K24" s="62"/>
      <c r="L24" s="62" t="s">
        <v>42</v>
      </c>
      <c r="M24" s="117"/>
      <c r="N24" s="64"/>
      <c r="O24" s="36"/>
    </row>
    <row r="25" spans="2:24" ht="24.75" customHeight="1">
      <c r="B25" s="26"/>
      <c r="C25" s="223">
        <f>(E25-F25)/F25</f>
        <v>-0.12337078004752869</v>
      </c>
      <c r="D25" s="225">
        <f>(E25-G25)/G25</f>
        <v>0.03245214918516909</v>
      </c>
      <c r="E25" s="110">
        <f>'P8'!E22</f>
        <v>9439.710000000001</v>
      </c>
      <c r="F25" s="110">
        <f>'P8'!E17</f>
        <v>10768.189999999999</v>
      </c>
      <c r="G25" s="112">
        <v>9143</v>
      </c>
      <c r="H25" s="107"/>
      <c r="I25" s="62"/>
      <c r="J25" s="62"/>
      <c r="K25" s="62"/>
      <c r="L25" s="62" t="s">
        <v>43</v>
      </c>
      <c r="M25" s="117"/>
      <c r="N25" s="64"/>
      <c r="O25" s="36"/>
      <c r="X25" s="259"/>
    </row>
    <row r="26" spans="2:15" ht="24.75" customHeight="1">
      <c r="B26" s="26"/>
      <c r="C26" s="223">
        <f>(E26-F26)/F26</f>
        <v>-0.25150309913628266</v>
      </c>
      <c r="D26" s="225">
        <f>(E26-G26)/G26</f>
        <v>-0.15527736156351804</v>
      </c>
      <c r="E26" s="110">
        <f>'P8'!C22</f>
        <v>518.6596999999999</v>
      </c>
      <c r="F26" s="110">
        <f>'P8'!C17</f>
        <v>692.935</v>
      </c>
      <c r="G26" s="111">
        <v>614</v>
      </c>
      <c r="H26" s="107"/>
      <c r="I26" s="62"/>
      <c r="J26" s="62"/>
      <c r="K26" s="62"/>
      <c r="L26" s="62" t="s">
        <v>59</v>
      </c>
      <c r="M26" s="117"/>
      <c r="N26" s="64"/>
      <c r="O26" s="61"/>
    </row>
    <row r="27" spans="2:15" ht="19.5" thickBot="1">
      <c r="B27" s="26"/>
      <c r="C27" s="118"/>
      <c r="D27" s="119"/>
      <c r="E27" s="120"/>
      <c r="F27" s="121"/>
      <c r="G27" s="122"/>
      <c r="H27" s="123"/>
      <c r="I27" s="124"/>
      <c r="J27" s="124"/>
      <c r="K27" s="124"/>
      <c r="L27" s="124"/>
      <c r="M27" s="125"/>
      <c r="N27" s="64"/>
      <c r="O27" s="61"/>
    </row>
    <row r="28" spans="2:16" ht="12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2:16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2:16" ht="12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2:16" ht="12.7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2:16" ht="22.5">
      <c r="B32" s="26"/>
      <c r="C32" s="266" t="s">
        <v>105</v>
      </c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"/>
      <c r="P32" s="26"/>
    </row>
    <row r="33" spans="2:16" ht="22.5">
      <c r="B33" s="26"/>
      <c r="C33" s="266" t="s">
        <v>135</v>
      </c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"/>
    </row>
    <row r="34" spans="2:16" ht="18.75">
      <c r="B34" s="2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6"/>
    </row>
    <row r="35" spans="2:22" ht="13.5" thickBot="1">
      <c r="B35" s="278"/>
      <c r="C35" s="278"/>
      <c r="D35" s="27"/>
      <c r="E35" s="27"/>
      <c r="F35" s="26"/>
      <c r="G35" s="26"/>
      <c r="H35" s="26"/>
      <c r="I35" s="26"/>
      <c r="J35" s="26"/>
      <c r="K35" s="26"/>
      <c r="M35" s="278" t="s">
        <v>98</v>
      </c>
      <c r="N35" s="278"/>
      <c r="P35" s="26"/>
      <c r="U35" s="259"/>
      <c r="V35" s="259"/>
    </row>
    <row r="36" spans="2:16" ht="16.5" thickBot="1">
      <c r="B36" s="130" t="s">
        <v>15</v>
      </c>
      <c r="C36" s="131" t="s">
        <v>13</v>
      </c>
      <c r="D36" s="131" t="s">
        <v>12</v>
      </c>
      <c r="E36" s="131" t="s">
        <v>11</v>
      </c>
      <c r="F36" s="131" t="s">
        <v>10</v>
      </c>
      <c r="G36" s="131" t="s">
        <v>9</v>
      </c>
      <c r="H36" s="131" t="s">
        <v>8</v>
      </c>
      <c r="I36" s="131" t="s">
        <v>7</v>
      </c>
      <c r="J36" s="131" t="s">
        <v>6</v>
      </c>
      <c r="K36" s="131" t="s">
        <v>5</v>
      </c>
      <c r="L36" s="131" t="s">
        <v>4</v>
      </c>
      <c r="M36" s="131" t="s">
        <v>3</v>
      </c>
      <c r="N36" s="132" t="s">
        <v>14</v>
      </c>
      <c r="O36" s="97" t="s">
        <v>2</v>
      </c>
      <c r="P36" s="26"/>
    </row>
    <row r="37" spans="2:16" ht="24.75" customHeight="1" thickBot="1">
      <c r="B37" s="257">
        <v>183.7</v>
      </c>
      <c r="C37" s="256">
        <v>42.4</v>
      </c>
      <c r="D37" s="133">
        <v>39.2</v>
      </c>
      <c r="E37" s="133">
        <v>41.8</v>
      </c>
      <c r="F37" s="253">
        <v>14.7</v>
      </c>
      <c r="G37" s="133">
        <v>26.2</v>
      </c>
      <c r="H37" s="133">
        <v>66.2</v>
      </c>
      <c r="I37" s="133">
        <v>0.1</v>
      </c>
      <c r="J37" s="133">
        <v>23.1</v>
      </c>
      <c r="K37" s="133">
        <v>14.2</v>
      </c>
      <c r="L37" s="243">
        <v>47.7</v>
      </c>
      <c r="M37" s="243">
        <v>6.9</v>
      </c>
      <c r="N37" s="262">
        <v>2020</v>
      </c>
      <c r="O37" s="97"/>
      <c r="P37" s="26"/>
    </row>
    <row r="38" spans="1:20" s="70" customFormat="1" ht="24.75" customHeight="1" thickBot="1">
      <c r="A38" s="46"/>
      <c r="B38" s="257">
        <v>187.9</v>
      </c>
      <c r="C38" s="256">
        <v>9.8</v>
      </c>
      <c r="D38" s="133">
        <v>60.8</v>
      </c>
      <c r="E38" s="253">
        <v>41.1</v>
      </c>
      <c r="F38" s="253">
        <v>20.3</v>
      </c>
      <c r="G38" s="133">
        <v>42.7</v>
      </c>
      <c r="H38" s="133">
        <v>43.3</v>
      </c>
      <c r="I38" s="133">
        <v>52.2</v>
      </c>
      <c r="J38" s="133">
        <v>30.1</v>
      </c>
      <c r="K38" s="253">
        <v>54.2</v>
      </c>
      <c r="L38" s="243">
        <v>24.2</v>
      </c>
      <c r="M38" s="243">
        <v>7.9</v>
      </c>
      <c r="N38" s="262">
        <v>2021</v>
      </c>
      <c r="O38" s="129">
        <f>(M38+21153.994)/1000</f>
        <v>21.161894</v>
      </c>
      <c r="P38" s="46"/>
      <c r="Q38" s="46"/>
      <c r="T38" s="260"/>
    </row>
    <row r="39" spans="2:20" ht="30" customHeight="1" thickBot="1">
      <c r="B39" s="257">
        <f>636.154-(SUM(C39:M39))</f>
        <v>91.95400000000006</v>
      </c>
      <c r="C39" s="256">
        <v>62.8</v>
      </c>
      <c r="D39" s="133">
        <v>69.5</v>
      </c>
      <c r="E39" s="253">
        <v>28.7</v>
      </c>
      <c r="F39" s="253">
        <v>17.7</v>
      </c>
      <c r="G39" s="133">
        <v>72.7</v>
      </c>
      <c r="H39" s="133">
        <v>59.6</v>
      </c>
      <c r="I39" s="133">
        <v>95.3</v>
      </c>
      <c r="J39" s="133">
        <v>7.2</v>
      </c>
      <c r="K39" s="253">
        <v>75.9</v>
      </c>
      <c r="L39" s="243">
        <v>46.8</v>
      </c>
      <c r="M39" s="243">
        <v>8</v>
      </c>
      <c r="N39" s="263">
        <v>2022</v>
      </c>
      <c r="O39" s="129">
        <f>(M39+9832.914)/1000</f>
        <v>9.840914000000001</v>
      </c>
      <c r="P39" s="26"/>
      <c r="T39" s="249"/>
    </row>
    <row r="40" spans="2:16" ht="30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2:16" ht="12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2:16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12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12.7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12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16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6" ht="12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2:16" ht="15.75" customHeight="1" hidden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6" ht="41.25" customHeight="1" hidden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 ht="39" customHeight="1" hidden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2:16" ht="13.5" hidden="1" thickBot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6"/>
    </row>
    <row r="54" spans="1:16" ht="1.5" customHeight="1" hidden="1" thickBot="1">
      <c r="A54" s="3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7"/>
    </row>
    <row r="55" spans="2:16" ht="12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2:16" ht="25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2:16" ht="15.75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5"/>
      <c r="O57" s="26"/>
      <c r="P57" s="26"/>
    </row>
    <row r="58" spans="1:16" ht="15.75">
      <c r="A58" s="94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35"/>
      <c r="O58" s="26"/>
      <c r="P58" s="26"/>
    </row>
    <row r="59" spans="1:16" ht="15.75">
      <c r="A59" s="9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2:16" ht="12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2:16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2:16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2:16" ht="12.7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2:16" ht="12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2:16" ht="12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ht="12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ht="12.75">
      <c r="P67" s="26"/>
    </row>
  </sheetData>
  <sheetProtection/>
  <mergeCells count="21">
    <mergeCell ref="G12:G13"/>
    <mergeCell ref="C9:M9"/>
    <mergeCell ref="J22:L22"/>
    <mergeCell ref="C11:D11"/>
    <mergeCell ref="B35:C35"/>
    <mergeCell ref="H13:M13"/>
    <mergeCell ref="M35:N35"/>
    <mergeCell ref="K23:M23"/>
    <mergeCell ref="K14:M14"/>
    <mergeCell ref="C32:N32"/>
    <mergeCell ref="C33:O33"/>
    <mergeCell ref="C8:M8"/>
    <mergeCell ref="J18:M18"/>
    <mergeCell ref="F12:F13"/>
    <mergeCell ref="A3:F3"/>
    <mergeCell ref="A4:F4"/>
    <mergeCell ref="K3:O3"/>
    <mergeCell ref="H12:M12"/>
    <mergeCell ref="C7:M7"/>
    <mergeCell ref="J4:O4"/>
    <mergeCell ref="E12:E13"/>
  </mergeCells>
  <printOptions horizontalCentered="1" verticalCentered="1"/>
  <pageMargins left="0.2755905511811024" right="0.2755905511811024" top="0.2362204724409449" bottom="0.25" header="0.31496062992125984" footer="0.56"/>
  <pageSetup fitToHeight="1" fitToWidth="1" horizontalDpi="600" verticalDpi="600" orientation="portrait" paperSize="9" scale="83" r:id="rId2"/>
  <headerFooter alignWithMargins="0">
    <oddFooter>&amp;C- 1 -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view="pageBreakPreview" zoomScaleSheetLayoutView="100" zoomScalePageLayoutView="0" workbookViewId="0" topLeftCell="A10">
      <selection activeCell="C48" sqref="C48"/>
    </sheetView>
  </sheetViews>
  <sheetFormatPr defaultColWidth="9.140625" defaultRowHeight="12.75"/>
  <cols>
    <col min="1" max="1" width="5.421875" style="39" customWidth="1"/>
    <col min="2" max="2" width="10.00390625" style="39" bestFit="1" customWidth="1"/>
    <col min="3" max="4" width="8.7109375" style="39" customWidth="1"/>
    <col min="5" max="5" width="11.421875" style="39" bestFit="1" customWidth="1"/>
    <col min="6" max="6" width="11.28125" style="39" bestFit="1" customWidth="1"/>
    <col min="7" max="7" width="11.421875" style="39" customWidth="1"/>
    <col min="8" max="8" width="10.7109375" style="39" bestFit="1" customWidth="1"/>
    <col min="9" max="9" width="8.7109375" style="39" customWidth="1"/>
    <col min="10" max="10" width="7.7109375" style="39" customWidth="1"/>
    <col min="11" max="11" width="15.140625" style="39" customWidth="1"/>
    <col min="12" max="12" width="7.57421875" style="39" customWidth="1"/>
    <col min="13" max="16384" width="9.140625" style="39" customWidth="1"/>
  </cols>
  <sheetData>
    <row r="1" spans="1:13" ht="12.75">
      <c r="A1" s="38"/>
      <c r="B1" s="38"/>
      <c r="C1" s="38"/>
      <c r="D1" s="71"/>
      <c r="E1" s="38"/>
      <c r="F1" s="38"/>
      <c r="G1" s="71"/>
      <c r="H1" s="71"/>
      <c r="I1" s="71"/>
      <c r="J1" s="71"/>
      <c r="K1" s="38"/>
      <c r="L1" s="38"/>
      <c r="M1" s="38"/>
    </row>
    <row r="2" spans="1:13" ht="12.75">
      <c r="A2" s="283" t="s">
        <v>17</v>
      </c>
      <c r="B2" s="283"/>
      <c r="C2" s="283"/>
      <c r="D2" s="71"/>
      <c r="E2" s="38"/>
      <c r="F2" s="38"/>
      <c r="G2" s="71"/>
      <c r="H2" s="71"/>
      <c r="I2" s="71"/>
      <c r="J2" s="71"/>
      <c r="K2" s="245" t="s">
        <v>16</v>
      </c>
      <c r="L2" s="71"/>
      <c r="M2" s="38"/>
    </row>
    <row r="3" spans="1:13" ht="12.75">
      <c r="A3" s="283" t="s">
        <v>18</v>
      </c>
      <c r="B3" s="283"/>
      <c r="C3" s="283"/>
      <c r="D3" s="71"/>
      <c r="E3" s="38"/>
      <c r="F3" s="38"/>
      <c r="G3" s="71"/>
      <c r="H3" s="71"/>
      <c r="I3" s="284" t="s">
        <v>130</v>
      </c>
      <c r="J3" s="284"/>
      <c r="K3" s="284"/>
      <c r="L3" s="71"/>
      <c r="M3" s="38"/>
    </row>
    <row r="4" spans="2:13" ht="15.75">
      <c r="B4" s="88"/>
      <c r="C4" s="88"/>
      <c r="D4" s="88"/>
      <c r="E4" s="38"/>
      <c r="F4" s="38"/>
      <c r="G4" s="71"/>
      <c r="H4" s="71"/>
      <c r="I4" s="71"/>
      <c r="J4" s="71"/>
      <c r="K4" s="88"/>
      <c r="L4" s="88"/>
      <c r="M4" s="38"/>
    </row>
    <row r="5" spans="2:13" ht="15.75">
      <c r="B5" s="88"/>
      <c r="C5" s="88"/>
      <c r="D5" s="88"/>
      <c r="E5" s="38"/>
      <c r="F5" s="38"/>
      <c r="G5" s="71"/>
      <c r="H5" s="71"/>
      <c r="I5" s="71"/>
      <c r="J5" s="71"/>
      <c r="K5" s="88"/>
      <c r="L5" s="88"/>
      <c r="M5" s="38"/>
    </row>
    <row r="6" spans="1:13" ht="12.75">
      <c r="A6" s="40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9" ht="22.5">
      <c r="B7" s="282" t="s">
        <v>106</v>
      </c>
      <c r="C7" s="282"/>
      <c r="D7" s="282"/>
      <c r="E7" s="282"/>
      <c r="F7" s="282"/>
      <c r="G7" s="282"/>
      <c r="H7" s="282"/>
      <c r="I7" s="282"/>
      <c r="J7" s="282"/>
      <c r="K7" s="282"/>
      <c r="L7" s="41"/>
      <c r="M7" s="41"/>
      <c r="N7" s="41"/>
      <c r="O7" s="41"/>
      <c r="P7" s="41"/>
      <c r="Q7" s="41"/>
      <c r="R7" s="41"/>
      <c r="S7" s="41"/>
    </row>
    <row r="8" spans="2:19" ht="19.5" customHeight="1">
      <c r="B8" s="282" t="s">
        <v>45</v>
      </c>
      <c r="C8" s="282"/>
      <c r="D8" s="282"/>
      <c r="E8" s="282"/>
      <c r="F8" s="282"/>
      <c r="G8" s="282"/>
      <c r="H8" s="282"/>
      <c r="I8" s="282"/>
      <c r="J8" s="282"/>
      <c r="K8" s="282"/>
      <c r="L8" s="41"/>
      <c r="M8" s="41"/>
      <c r="N8" s="41"/>
      <c r="O8" s="41"/>
      <c r="P8" s="41"/>
      <c r="Q8" s="41"/>
      <c r="R8" s="41"/>
      <c r="S8" s="41"/>
    </row>
    <row r="9" spans="2:19" ht="23.25" customHeight="1">
      <c r="B9" s="282" t="s">
        <v>141</v>
      </c>
      <c r="C9" s="282"/>
      <c r="D9" s="282"/>
      <c r="E9" s="282"/>
      <c r="F9" s="282"/>
      <c r="G9" s="282"/>
      <c r="H9" s="282"/>
      <c r="I9" s="282"/>
      <c r="J9" s="282"/>
      <c r="K9" s="282"/>
      <c r="L9" s="41"/>
      <c r="M9" s="41"/>
      <c r="N9" s="41"/>
      <c r="O9" s="41"/>
      <c r="P9" s="41"/>
      <c r="Q9" s="41"/>
      <c r="R9" s="41"/>
      <c r="S9" s="41"/>
    </row>
    <row r="10" spans="2:13" ht="18.75">
      <c r="B10" s="285"/>
      <c r="C10" s="285"/>
      <c r="D10" s="285"/>
      <c r="E10" s="285"/>
      <c r="F10" s="285"/>
      <c r="G10" s="285"/>
      <c r="H10" s="285"/>
      <c r="I10" s="285"/>
      <c r="J10" s="285"/>
      <c r="K10" s="69"/>
      <c r="L10" s="38"/>
      <c r="M10" s="38"/>
    </row>
    <row r="11" spans="1:13" ht="12.75">
      <c r="A11" s="38"/>
      <c r="B11" s="277" t="s">
        <v>143</v>
      </c>
      <c r="C11" s="277"/>
      <c r="E11" s="38"/>
      <c r="F11" s="38"/>
      <c r="G11" s="38"/>
      <c r="H11" s="289"/>
      <c r="I11" s="289"/>
      <c r="J11" s="289" t="s">
        <v>67</v>
      </c>
      <c r="K11" s="289"/>
      <c r="L11" s="38"/>
      <c r="M11" s="38"/>
    </row>
    <row r="12" spans="2:13" ht="18.75">
      <c r="B12" s="286" t="s">
        <v>41</v>
      </c>
      <c r="C12" s="287"/>
      <c r="D12" s="288"/>
      <c r="E12" s="292" t="s">
        <v>37</v>
      </c>
      <c r="F12" s="293"/>
      <c r="G12" s="288"/>
      <c r="H12" s="292" t="s">
        <v>35</v>
      </c>
      <c r="I12" s="293"/>
      <c r="J12" s="288"/>
      <c r="K12" s="290" t="s">
        <v>19</v>
      </c>
      <c r="M12" s="38"/>
    </row>
    <row r="13" spans="2:13" ht="15.75">
      <c r="B13" s="42" t="s">
        <v>39</v>
      </c>
      <c r="C13" s="140">
        <v>2022</v>
      </c>
      <c r="D13" s="140">
        <v>2021</v>
      </c>
      <c r="E13" s="42" t="s">
        <v>39</v>
      </c>
      <c r="F13" s="140">
        <v>2022</v>
      </c>
      <c r="G13" s="140">
        <v>2021</v>
      </c>
      <c r="H13" s="42" t="s">
        <v>39</v>
      </c>
      <c r="I13" s="140">
        <v>2022</v>
      </c>
      <c r="J13" s="140">
        <v>2021</v>
      </c>
      <c r="K13" s="291"/>
      <c r="M13" s="38"/>
    </row>
    <row r="14" spans="2:13" ht="15.75">
      <c r="B14" s="226">
        <f>(C14-D14)/D14</f>
        <v>-0.16666666666666666</v>
      </c>
      <c r="C14" s="135">
        <v>20</v>
      </c>
      <c r="D14" s="135">
        <v>24</v>
      </c>
      <c r="E14" s="226">
        <f>(F14-G14)/G14</f>
        <v>0.6327749762095657</v>
      </c>
      <c r="F14" s="135">
        <v>1743.242</v>
      </c>
      <c r="G14" s="135">
        <v>1067.656</v>
      </c>
      <c r="H14" s="226">
        <f>(I14-J14)/J14</f>
        <v>-0.15384615384615385</v>
      </c>
      <c r="I14" s="135">
        <v>11</v>
      </c>
      <c r="J14" s="135">
        <v>13</v>
      </c>
      <c r="K14" s="90" t="s">
        <v>68</v>
      </c>
      <c r="M14" s="38"/>
    </row>
    <row r="15" spans="2:13" ht="15.75">
      <c r="B15" s="226">
        <f>(C15-D15)/D15</f>
        <v>-0.391304347826087</v>
      </c>
      <c r="C15" s="135">
        <v>14</v>
      </c>
      <c r="D15" s="135">
        <v>23</v>
      </c>
      <c r="E15" s="226">
        <f>(F15-G15)/G15</f>
        <v>-0.2718654413021366</v>
      </c>
      <c r="F15" s="135">
        <v>4405.3</v>
      </c>
      <c r="G15" s="135">
        <v>6050.118</v>
      </c>
      <c r="H15" s="226">
        <f aca="true" t="shared" si="0" ref="H15:H20">(I15-J15)/J15</f>
        <v>0.3157894736842105</v>
      </c>
      <c r="I15" s="135">
        <v>25</v>
      </c>
      <c r="J15" s="135">
        <v>19</v>
      </c>
      <c r="K15" s="90" t="s">
        <v>69</v>
      </c>
      <c r="M15" s="38"/>
    </row>
    <row r="16" spans="2:13" ht="15.75">
      <c r="B16" s="226">
        <f>(C16-D16)/D16</f>
        <v>0.14893617021276595</v>
      </c>
      <c r="C16" s="135">
        <v>54</v>
      </c>
      <c r="D16" s="135">
        <v>47</v>
      </c>
      <c r="E16" s="226">
        <f>(F16-G16)/G16</f>
        <v>4.178229609809213</v>
      </c>
      <c r="F16" s="135">
        <v>24434.336</v>
      </c>
      <c r="G16" s="135">
        <v>4718.666</v>
      </c>
      <c r="H16" s="226">
        <f t="shared" si="0"/>
        <v>-0.08333333333333333</v>
      </c>
      <c r="I16" s="135">
        <v>22</v>
      </c>
      <c r="J16" s="135">
        <v>24</v>
      </c>
      <c r="K16" s="90" t="s">
        <v>70</v>
      </c>
      <c r="M16" s="38"/>
    </row>
    <row r="17" spans="2:13" ht="15.75">
      <c r="B17" s="226">
        <f aca="true" t="shared" si="1" ref="B17:B24">(C17-D17)/D17</f>
        <v>0.013392857142857142</v>
      </c>
      <c r="C17" s="135">
        <v>227</v>
      </c>
      <c r="D17" s="135">
        <v>224</v>
      </c>
      <c r="E17" s="226">
        <f aca="true" t="shared" si="2" ref="E17:E24">(F17-G17)/G17</f>
        <v>-0.061695614678437094</v>
      </c>
      <c r="F17" s="135">
        <v>49644.195</v>
      </c>
      <c r="G17" s="135">
        <v>52908.412</v>
      </c>
      <c r="H17" s="226">
        <f t="shared" si="0"/>
        <v>0.18803418803418803</v>
      </c>
      <c r="I17" s="135">
        <v>139</v>
      </c>
      <c r="J17" s="135">
        <v>117</v>
      </c>
      <c r="K17" s="90" t="s">
        <v>71</v>
      </c>
      <c r="M17" s="38"/>
    </row>
    <row r="18" spans="2:13" ht="15.75">
      <c r="B18" s="226">
        <f>(C18-D18)/D18</f>
        <v>-0.5806451612903226</v>
      </c>
      <c r="C18" s="135">
        <v>52</v>
      </c>
      <c r="D18" s="135">
        <v>124</v>
      </c>
      <c r="E18" s="226">
        <f>(F18-G18)/G18</f>
        <v>-0.5536966132026663</v>
      </c>
      <c r="F18" s="135">
        <v>18409.792</v>
      </c>
      <c r="G18" s="135">
        <v>41249.501</v>
      </c>
      <c r="H18" s="226">
        <f t="shared" si="0"/>
        <v>0.03333333333333333</v>
      </c>
      <c r="I18" s="135">
        <v>93</v>
      </c>
      <c r="J18" s="135">
        <v>90</v>
      </c>
      <c r="K18" s="90" t="s">
        <v>72</v>
      </c>
      <c r="M18" s="38"/>
    </row>
    <row r="19" spans="2:13" ht="15.75">
      <c r="B19" s="226">
        <f>(C19-D19)/D19</f>
        <v>-0.11566265060240964</v>
      </c>
      <c r="C19" s="135">
        <v>367</v>
      </c>
      <c r="D19" s="135">
        <v>415</v>
      </c>
      <c r="E19" s="226">
        <f t="shared" si="2"/>
        <v>-0.2597740487925567</v>
      </c>
      <c r="F19" s="135">
        <v>31976.935</v>
      </c>
      <c r="G19" s="135">
        <v>43198.884</v>
      </c>
      <c r="H19" s="226">
        <f t="shared" si="0"/>
        <v>-0.06936416184971098</v>
      </c>
      <c r="I19" s="135">
        <v>161</v>
      </c>
      <c r="J19" s="135">
        <v>173</v>
      </c>
      <c r="K19" s="90" t="s">
        <v>73</v>
      </c>
      <c r="M19" s="38"/>
    </row>
    <row r="20" spans="2:13" ht="15.75">
      <c r="B20" s="226">
        <f>(C20-D20)/D20</f>
        <v>1.125</v>
      </c>
      <c r="C20" s="135">
        <v>68</v>
      </c>
      <c r="D20" s="135">
        <v>32</v>
      </c>
      <c r="E20" s="226">
        <f>(F20-G20)/G20</f>
        <v>3.377436081519222</v>
      </c>
      <c r="F20" s="135">
        <v>18901.769</v>
      </c>
      <c r="G20" s="135">
        <v>4318</v>
      </c>
      <c r="H20" s="226">
        <f t="shared" si="0"/>
        <v>1.4074074074074074</v>
      </c>
      <c r="I20" s="135">
        <v>65</v>
      </c>
      <c r="J20" s="135">
        <v>27</v>
      </c>
      <c r="K20" s="90" t="s">
        <v>74</v>
      </c>
      <c r="M20" s="38"/>
    </row>
    <row r="21" spans="2:13" s="44" customFormat="1" ht="15.75">
      <c r="B21" s="227">
        <f t="shared" si="1"/>
        <v>-0.09786276715410573</v>
      </c>
      <c r="C21" s="136">
        <f>SUM(C14:C20)</f>
        <v>802</v>
      </c>
      <c r="D21" s="136">
        <f>SUM(D14:D20)</f>
        <v>889</v>
      </c>
      <c r="E21" s="227">
        <f t="shared" si="2"/>
        <v>-0.026028505001233077</v>
      </c>
      <c r="F21" s="136">
        <f>SUM(F14:F20)</f>
        <v>149515.56900000002</v>
      </c>
      <c r="G21" s="136">
        <f>SUM(G14:G20)</f>
        <v>153511.237</v>
      </c>
      <c r="H21" s="227">
        <f>(I21-J21)/J21</f>
        <v>0.11447084233261338</v>
      </c>
      <c r="I21" s="136">
        <f>SUM(I14:I20)</f>
        <v>516</v>
      </c>
      <c r="J21" s="136">
        <f>SUM(J14:J20)</f>
        <v>463</v>
      </c>
      <c r="K21" s="43" t="s">
        <v>75</v>
      </c>
      <c r="M21" s="71"/>
    </row>
    <row r="22" spans="2:13" ht="15.75">
      <c r="B22" s="226">
        <f>(C22-D22)/D22</f>
        <v>-0.575</v>
      </c>
      <c r="C22" s="135">
        <v>85</v>
      </c>
      <c r="D22" s="135">
        <v>200</v>
      </c>
      <c r="E22" s="226">
        <f>(F22-G22)/G22</f>
        <v>-0.32919202119116997</v>
      </c>
      <c r="F22" s="135">
        <v>22292.007</v>
      </c>
      <c r="G22" s="135">
        <v>33231.577</v>
      </c>
      <c r="H22" s="226">
        <f aca="true" t="shared" si="3" ref="H22:H29">(I22-J22)/J22</f>
        <v>0.08196721311475409</v>
      </c>
      <c r="I22" s="135">
        <v>132</v>
      </c>
      <c r="J22" s="135">
        <v>122</v>
      </c>
      <c r="K22" s="90" t="s">
        <v>76</v>
      </c>
      <c r="M22" s="38"/>
    </row>
    <row r="23" spans="2:13" ht="15.75">
      <c r="B23" s="226">
        <f t="shared" si="1"/>
        <v>0.5675675675675675</v>
      </c>
      <c r="C23" s="135">
        <v>116</v>
      </c>
      <c r="D23" s="135">
        <v>74</v>
      </c>
      <c r="E23" s="226">
        <f t="shared" si="2"/>
        <v>0.07035453032004607</v>
      </c>
      <c r="F23" s="135">
        <v>33179.934</v>
      </c>
      <c r="G23" s="135">
        <v>30999.013</v>
      </c>
      <c r="H23" s="226">
        <f t="shared" si="3"/>
        <v>0.3068181818181818</v>
      </c>
      <c r="I23" s="135">
        <v>230</v>
      </c>
      <c r="J23" s="135">
        <v>176</v>
      </c>
      <c r="K23" s="90" t="s">
        <v>77</v>
      </c>
      <c r="M23" s="38"/>
    </row>
    <row r="24" spans="2:13" ht="15.75">
      <c r="B24" s="226">
        <f t="shared" si="1"/>
        <v>-0.1782178217821782</v>
      </c>
      <c r="C24" s="135">
        <v>83</v>
      </c>
      <c r="D24" s="135">
        <v>101</v>
      </c>
      <c r="E24" s="226">
        <f t="shared" si="2"/>
        <v>0.8113742541558113</v>
      </c>
      <c r="F24" s="135">
        <v>24070.992</v>
      </c>
      <c r="G24" s="135">
        <v>13288.801</v>
      </c>
      <c r="H24" s="226">
        <f t="shared" si="3"/>
        <v>0.7372881355932204</v>
      </c>
      <c r="I24" s="135">
        <v>205</v>
      </c>
      <c r="J24" s="135">
        <v>118</v>
      </c>
      <c r="K24" s="90" t="s">
        <v>78</v>
      </c>
      <c r="M24" s="38"/>
    </row>
    <row r="25" spans="2:13" ht="15.75">
      <c r="B25" s="226">
        <f aca="true" t="shared" si="4" ref="B25:B30">(C25-D25)/D25</f>
        <v>0.007936507936507936</v>
      </c>
      <c r="C25" s="135">
        <v>127</v>
      </c>
      <c r="D25" s="135">
        <v>126</v>
      </c>
      <c r="E25" s="226">
        <f aca="true" t="shared" si="5" ref="E25:E30">(F25-G25)/G25</f>
        <v>0.4925328486807017</v>
      </c>
      <c r="F25" s="135">
        <v>23624.995</v>
      </c>
      <c r="G25" s="135">
        <v>15828.794</v>
      </c>
      <c r="H25" s="226">
        <f t="shared" si="3"/>
        <v>0.43956043956043955</v>
      </c>
      <c r="I25" s="135">
        <v>131</v>
      </c>
      <c r="J25" s="135">
        <v>91</v>
      </c>
      <c r="K25" s="90" t="s">
        <v>79</v>
      </c>
      <c r="M25" s="38"/>
    </row>
    <row r="26" spans="2:13" s="44" customFormat="1" ht="15.75">
      <c r="B26" s="227">
        <f t="shared" si="4"/>
        <v>-0.17964071856287425</v>
      </c>
      <c r="C26" s="136">
        <f>SUM(C22:C25)</f>
        <v>411</v>
      </c>
      <c r="D26" s="136">
        <f>SUM(D22:D25)</f>
        <v>501</v>
      </c>
      <c r="E26" s="227">
        <f t="shared" si="5"/>
        <v>0.10519479302141764</v>
      </c>
      <c r="F26" s="136">
        <f>SUM(F22:F25)</f>
        <v>103167.928</v>
      </c>
      <c r="G26" s="136">
        <f>SUM(G22:G25)</f>
        <v>93348.185</v>
      </c>
      <c r="H26" s="227">
        <f>(I26-J26)/J26</f>
        <v>0.3767258382642998</v>
      </c>
      <c r="I26" s="136">
        <f>SUM(I22:I25)</f>
        <v>698</v>
      </c>
      <c r="J26" s="136">
        <f>SUM(J22:J25)</f>
        <v>507</v>
      </c>
      <c r="K26" s="43" t="s">
        <v>80</v>
      </c>
      <c r="M26" s="71"/>
    </row>
    <row r="27" spans="2:13" ht="15.75">
      <c r="B27" s="226">
        <f t="shared" si="4"/>
        <v>-0.2034383954154728</v>
      </c>
      <c r="C27" s="135">
        <v>278</v>
      </c>
      <c r="D27" s="135">
        <v>349</v>
      </c>
      <c r="E27" s="226">
        <f t="shared" si="5"/>
        <v>-0.02114662562308792</v>
      </c>
      <c r="F27" s="135">
        <v>36670.412</v>
      </c>
      <c r="G27" s="135">
        <v>37462.62</v>
      </c>
      <c r="H27" s="226">
        <f>(I27-J27)/J27</f>
        <v>-0.25333333333333335</v>
      </c>
      <c r="I27" s="135">
        <v>224</v>
      </c>
      <c r="J27" s="135">
        <v>300</v>
      </c>
      <c r="K27" s="90" t="s">
        <v>81</v>
      </c>
      <c r="M27" s="38"/>
    </row>
    <row r="28" spans="2:13" ht="15.75">
      <c r="B28" s="226">
        <f t="shared" si="4"/>
        <v>-0.1125</v>
      </c>
      <c r="C28" s="135">
        <v>355</v>
      </c>
      <c r="D28" s="135">
        <v>400</v>
      </c>
      <c r="E28" s="226">
        <f t="shared" si="5"/>
        <v>0.005318227853777231</v>
      </c>
      <c r="F28" s="135">
        <v>45243.053</v>
      </c>
      <c r="G28" s="135">
        <v>45003.713</v>
      </c>
      <c r="H28" s="226">
        <f t="shared" si="3"/>
        <v>0.18037135278514588</v>
      </c>
      <c r="I28" s="135">
        <v>445</v>
      </c>
      <c r="J28" s="135">
        <v>377</v>
      </c>
      <c r="K28" s="90" t="s">
        <v>82</v>
      </c>
      <c r="M28" s="38"/>
    </row>
    <row r="29" spans="2:13" ht="15.75">
      <c r="B29" s="226">
        <f t="shared" si="4"/>
        <v>-0.2236842105263158</v>
      </c>
      <c r="C29" s="135">
        <v>354</v>
      </c>
      <c r="D29" s="135">
        <v>456</v>
      </c>
      <c r="E29" s="226">
        <f t="shared" si="5"/>
        <v>-0.3164881920738928</v>
      </c>
      <c r="F29" s="135">
        <v>29287.576</v>
      </c>
      <c r="G29" s="135">
        <v>42848.676</v>
      </c>
      <c r="H29" s="226">
        <f t="shared" si="3"/>
        <v>-0.3961038961038961</v>
      </c>
      <c r="I29" s="135">
        <v>279</v>
      </c>
      <c r="J29" s="135">
        <v>462</v>
      </c>
      <c r="K29" s="90" t="s">
        <v>83</v>
      </c>
      <c r="M29" s="38"/>
    </row>
    <row r="30" spans="2:13" s="44" customFormat="1" ht="15.75">
      <c r="B30" s="227">
        <f t="shared" si="4"/>
        <v>-0.18091286307053941</v>
      </c>
      <c r="C30" s="136">
        <f>SUM(C27:C29)</f>
        <v>987</v>
      </c>
      <c r="D30" s="136">
        <f>SUM(D27:D29)</f>
        <v>1205</v>
      </c>
      <c r="E30" s="227">
        <f t="shared" si="5"/>
        <v>-0.11262791354864779</v>
      </c>
      <c r="F30" s="136">
        <f>SUM(F27:F29)</f>
        <v>111201.041</v>
      </c>
      <c r="G30" s="136">
        <f>SUM(G27:G29)</f>
        <v>125315.00900000002</v>
      </c>
      <c r="H30" s="227">
        <f>(I30-J30)/J30</f>
        <v>-0.16769095697980685</v>
      </c>
      <c r="I30" s="136">
        <f>SUM(I27:I29)</f>
        <v>948</v>
      </c>
      <c r="J30" s="136">
        <f>SUM(J27:J29)</f>
        <v>1139</v>
      </c>
      <c r="K30" s="43" t="s">
        <v>84</v>
      </c>
      <c r="M30" s="71"/>
    </row>
    <row r="31" spans="2:13" ht="15.75">
      <c r="B31" s="226">
        <f aca="true" t="shared" si="6" ref="B31:B43">(C31-D31)/D31</f>
        <v>-0.09803921568627451</v>
      </c>
      <c r="C31" s="135">
        <v>46</v>
      </c>
      <c r="D31" s="135">
        <v>51</v>
      </c>
      <c r="E31" s="226">
        <f aca="true" t="shared" si="7" ref="E31:E38">(F31-G31)/G31</f>
        <v>0.4067497841734239</v>
      </c>
      <c r="F31" s="135">
        <v>13280.351</v>
      </c>
      <c r="G31" s="135">
        <v>9440.45</v>
      </c>
      <c r="H31" s="226">
        <f aca="true" t="shared" si="8" ref="H31:H43">(I31-J31)/J31</f>
        <v>-0.6</v>
      </c>
      <c r="I31" s="135">
        <v>14</v>
      </c>
      <c r="J31" s="135">
        <v>35</v>
      </c>
      <c r="K31" s="90" t="s">
        <v>85</v>
      </c>
      <c r="M31" s="38"/>
    </row>
    <row r="32" spans="2:13" ht="15.75">
      <c r="B32" s="226">
        <f t="shared" si="6"/>
        <v>-0.3939393939393939</v>
      </c>
      <c r="C32" s="135">
        <v>120</v>
      </c>
      <c r="D32" s="135">
        <v>198</v>
      </c>
      <c r="E32" s="226">
        <f t="shared" si="7"/>
        <v>0.1238651403407007</v>
      </c>
      <c r="F32" s="135">
        <v>18987.252</v>
      </c>
      <c r="G32" s="135">
        <v>16894.6</v>
      </c>
      <c r="H32" s="226">
        <f t="shared" si="8"/>
        <v>-0.13636363636363635</v>
      </c>
      <c r="I32" s="135">
        <v>57</v>
      </c>
      <c r="J32" s="135">
        <v>66</v>
      </c>
      <c r="K32" s="90" t="s">
        <v>86</v>
      </c>
      <c r="M32" s="38"/>
    </row>
    <row r="33" spans="2:13" ht="15.75">
      <c r="B33" s="226">
        <f t="shared" si="6"/>
        <v>0.24025974025974026</v>
      </c>
      <c r="C33" s="135">
        <v>191</v>
      </c>
      <c r="D33" s="135">
        <v>154</v>
      </c>
      <c r="E33" s="226">
        <f t="shared" si="7"/>
        <v>1.259758599061189</v>
      </c>
      <c r="F33" s="135">
        <v>55176.65</v>
      </c>
      <c r="G33" s="135">
        <v>24417.055</v>
      </c>
      <c r="H33" s="226">
        <f t="shared" si="8"/>
        <v>0.031914893617021274</v>
      </c>
      <c r="I33" s="135">
        <v>97</v>
      </c>
      <c r="J33" s="135">
        <v>94</v>
      </c>
      <c r="K33" s="90" t="s">
        <v>87</v>
      </c>
      <c r="M33" s="38"/>
    </row>
    <row r="34" spans="2:13" ht="15.75">
      <c r="B34" s="226">
        <f t="shared" si="6"/>
        <v>-0.18983050847457628</v>
      </c>
      <c r="C34" s="135">
        <v>239</v>
      </c>
      <c r="D34" s="135">
        <v>295</v>
      </c>
      <c r="E34" s="226">
        <f t="shared" si="7"/>
        <v>0.39823287154263026</v>
      </c>
      <c r="F34" s="135">
        <v>82133.049</v>
      </c>
      <c r="G34" s="135">
        <v>58740.608</v>
      </c>
      <c r="H34" s="226">
        <f t="shared" si="8"/>
        <v>0.07741935483870968</v>
      </c>
      <c r="I34" s="135">
        <v>167</v>
      </c>
      <c r="J34" s="135">
        <v>155</v>
      </c>
      <c r="K34" s="90" t="s">
        <v>88</v>
      </c>
      <c r="M34" s="38"/>
    </row>
    <row r="35" spans="2:13" s="44" customFormat="1" ht="15.75">
      <c r="B35" s="227">
        <f t="shared" si="6"/>
        <v>-0.14613180515759314</v>
      </c>
      <c r="C35" s="136">
        <f>SUM(C31:C34)</f>
        <v>596</v>
      </c>
      <c r="D35" s="136">
        <f>SUM(D31:D34)</f>
        <v>698</v>
      </c>
      <c r="E35" s="227">
        <f t="shared" si="7"/>
        <v>0.5487542262287356</v>
      </c>
      <c r="F35" s="136">
        <f>SUM(F31:F34)</f>
        <v>169577.302</v>
      </c>
      <c r="G35" s="136">
        <f>SUM(G31:G34)</f>
        <v>109492.71299999999</v>
      </c>
      <c r="H35" s="227">
        <f>(I35-J35)/J35</f>
        <v>-0.04285714285714286</v>
      </c>
      <c r="I35" s="136">
        <f>SUM(I31:I34)</f>
        <v>335</v>
      </c>
      <c r="J35" s="136">
        <f>SUM(J31:J34)</f>
        <v>350</v>
      </c>
      <c r="K35" s="43" t="s">
        <v>89</v>
      </c>
      <c r="M35" s="71"/>
    </row>
    <row r="36" spans="2:13" ht="15.75">
      <c r="B36" s="226">
        <f>(C36-D36)/D36</f>
        <v>-0.37267080745341613</v>
      </c>
      <c r="C36" s="135">
        <v>202</v>
      </c>
      <c r="D36" s="135">
        <v>322</v>
      </c>
      <c r="E36" s="226">
        <f t="shared" si="7"/>
        <v>-0.3087949968160691</v>
      </c>
      <c r="F36" s="135">
        <v>17686.461</v>
      </c>
      <c r="G36" s="135">
        <v>25587.866</v>
      </c>
      <c r="H36" s="226">
        <f t="shared" si="8"/>
        <v>-0.25102880658436216</v>
      </c>
      <c r="I36" s="135">
        <v>182</v>
      </c>
      <c r="J36" s="135">
        <v>243</v>
      </c>
      <c r="K36" s="90" t="s">
        <v>90</v>
      </c>
      <c r="M36" s="38"/>
    </row>
    <row r="37" spans="2:13" ht="15.75">
      <c r="B37" s="226">
        <f>(C37-D37)/D37</f>
        <v>-0.13636363636363635</v>
      </c>
      <c r="C37" s="135">
        <v>38</v>
      </c>
      <c r="D37" s="135">
        <v>44</v>
      </c>
      <c r="E37" s="226">
        <f>(F37-G37)/G37</f>
        <v>-0.20089174324016335</v>
      </c>
      <c r="F37" s="135">
        <v>5918.509</v>
      </c>
      <c r="G37" s="135">
        <v>7406.392</v>
      </c>
      <c r="H37" s="226">
        <f t="shared" si="8"/>
        <v>-0.3111111111111111</v>
      </c>
      <c r="I37" s="135">
        <v>93</v>
      </c>
      <c r="J37" s="135">
        <v>135</v>
      </c>
      <c r="K37" s="90" t="s">
        <v>91</v>
      </c>
      <c r="M37" s="38"/>
    </row>
    <row r="38" spans="2:13" ht="15.75">
      <c r="B38" s="226">
        <f>(C38-D38)/D38</f>
        <v>0</v>
      </c>
      <c r="C38" s="135">
        <v>90</v>
      </c>
      <c r="D38" s="135">
        <v>90</v>
      </c>
      <c r="E38" s="226">
        <f t="shared" si="7"/>
        <v>-0.04924927875426615</v>
      </c>
      <c r="F38" s="135">
        <v>7780.054</v>
      </c>
      <c r="G38" s="135">
        <v>8183.064</v>
      </c>
      <c r="H38" s="226">
        <f t="shared" si="8"/>
        <v>0.09278350515463918</v>
      </c>
      <c r="I38" s="135">
        <v>106</v>
      </c>
      <c r="J38" s="135">
        <v>97</v>
      </c>
      <c r="K38" s="90" t="s">
        <v>92</v>
      </c>
      <c r="M38" s="38"/>
    </row>
    <row r="39" spans="2:13" s="44" customFormat="1" ht="15.75">
      <c r="B39" s="227">
        <f t="shared" si="6"/>
        <v>-0.27631578947368424</v>
      </c>
      <c r="C39" s="136">
        <f>SUM(C36:C38)</f>
        <v>330</v>
      </c>
      <c r="D39" s="136">
        <f>SUM(D36:D38)</f>
        <v>456</v>
      </c>
      <c r="E39" s="227">
        <f aca="true" t="shared" si="9" ref="E39:E44">(F39-G39)/G39</f>
        <v>-0.2378080342378749</v>
      </c>
      <c r="F39" s="136">
        <f>SUM(F36:F38)</f>
        <v>31385.024</v>
      </c>
      <c r="G39" s="136">
        <f>SUM(G36:G38)</f>
        <v>41177.322</v>
      </c>
      <c r="H39" s="227">
        <f>(I39-J39)/J39</f>
        <v>-0.19789473684210526</v>
      </c>
      <c r="I39" s="136">
        <f>SUM(I36:I38)</f>
        <v>381</v>
      </c>
      <c r="J39" s="136">
        <f>SUM(J36:J38)</f>
        <v>475</v>
      </c>
      <c r="K39" s="43" t="s">
        <v>93</v>
      </c>
      <c r="M39" s="71"/>
    </row>
    <row r="40" spans="2:13" ht="15.75">
      <c r="B40" s="226">
        <f t="shared" si="6"/>
        <v>0.14285714285714285</v>
      </c>
      <c r="C40" s="135">
        <v>128</v>
      </c>
      <c r="D40" s="135">
        <v>112</v>
      </c>
      <c r="E40" s="226">
        <f t="shared" si="9"/>
        <v>0.6464895505555636</v>
      </c>
      <c r="F40" s="135">
        <v>41515.093</v>
      </c>
      <c r="G40" s="135">
        <v>25214.307</v>
      </c>
      <c r="H40" s="226">
        <f t="shared" si="8"/>
        <v>-0.004784688995215311</v>
      </c>
      <c r="I40" s="135">
        <v>208</v>
      </c>
      <c r="J40" s="135">
        <v>209</v>
      </c>
      <c r="K40" s="90" t="s">
        <v>94</v>
      </c>
      <c r="M40" s="38"/>
    </row>
    <row r="41" spans="2:17" ht="15.75">
      <c r="B41" s="226">
        <f t="shared" si="6"/>
        <v>-0.2709030100334448</v>
      </c>
      <c r="C41" s="135">
        <v>218</v>
      </c>
      <c r="D41" s="135">
        <v>299</v>
      </c>
      <c r="E41" s="226">
        <f t="shared" si="9"/>
        <v>0.34139716594349584</v>
      </c>
      <c r="F41" s="135">
        <v>22505.299</v>
      </c>
      <c r="G41" s="135">
        <v>16777.506</v>
      </c>
      <c r="H41" s="226">
        <f t="shared" si="8"/>
        <v>-0.16972477064220184</v>
      </c>
      <c r="I41" s="135">
        <v>181</v>
      </c>
      <c r="J41" s="135">
        <v>218</v>
      </c>
      <c r="K41" s="90" t="s">
        <v>95</v>
      </c>
      <c r="M41" s="38"/>
      <c r="Q41"/>
    </row>
    <row r="42" spans="2:13" ht="15.75">
      <c r="B42" s="226">
        <f>(C42-D42)/D42</f>
        <v>-0.4609375</v>
      </c>
      <c r="C42" s="135">
        <v>69</v>
      </c>
      <c r="D42" s="135">
        <v>128</v>
      </c>
      <c r="E42" s="226">
        <f>(F42-G42)/G42</f>
        <v>-0.39702168365235985</v>
      </c>
      <c r="F42" s="135">
        <v>7286.8</v>
      </c>
      <c r="G42" s="135">
        <v>12084.68</v>
      </c>
      <c r="H42" s="226">
        <f t="shared" si="8"/>
        <v>-0.32608695652173914</v>
      </c>
      <c r="I42" s="135">
        <v>93</v>
      </c>
      <c r="J42" s="135">
        <v>138</v>
      </c>
      <c r="K42" s="90" t="s">
        <v>96</v>
      </c>
      <c r="M42" s="38"/>
    </row>
    <row r="43" spans="2:13" s="44" customFormat="1" ht="15.75">
      <c r="B43" s="227">
        <f t="shared" si="6"/>
        <v>-0.2300556586270872</v>
      </c>
      <c r="C43" s="136">
        <f>SUM(C40:C42)</f>
        <v>415</v>
      </c>
      <c r="D43" s="136">
        <f>SUM(D40:D42)</f>
        <v>539</v>
      </c>
      <c r="E43" s="227">
        <f t="shared" si="9"/>
        <v>0.318635659305791</v>
      </c>
      <c r="F43" s="136">
        <f>SUM(F40:F42)</f>
        <v>71307.192</v>
      </c>
      <c r="G43" s="136">
        <f>SUM(G40:G42)</f>
        <v>54076.493</v>
      </c>
      <c r="H43" s="227">
        <f t="shared" si="8"/>
        <v>-0.14690265486725665</v>
      </c>
      <c r="I43" s="136">
        <f>SUM(I40:I42)</f>
        <v>482</v>
      </c>
      <c r="J43" s="136">
        <f>SUM(J40:J42)</f>
        <v>565</v>
      </c>
      <c r="K43" s="43" t="s">
        <v>97</v>
      </c>
      <c r="M43" s="71"/>
    </row>
    <row r="44" spans="2:13" s="15" customFormat="1" ht="15.75">
      <c r="B44" s="227">
        <f>(C44-D44)/D44</f>
        <v>-0.17420708955223882</v>
      </c>
      <c r="C44" s="137">
        <f>C43+C39+C35+C30+C26+C21</f>
        <v>3541</v>
      </c>
      <c r="D44" s="137">
        <f>D43+D39+D35+D30+D26+D21</f>
        <v>4288</v>
      </c>
      <c r="E44" s="228">
        <f t="shared" si="9"/>
        <v>0.10267107837904024</v>
      </c>
      <c r="F44" s="137">
        <f>F43+F39+F35+F30+F26+F21</f>
        <v>636154.0560000001</v>
      </c>
      <c r="G44" s="137">
        <f>G43+G39+G35+G30+G26+G21</f>
        <v>576920.959</v>
      </c>
      <c r="H44" s="228">
        <f>(I44-J44)/J44</f>
        <v>-0.03972563589597028</v>
      </c>
      <c r="I44" s="137">
        <f>I43+I39+I35+I30+I26+I21</f>
        <v>3360</v>
      </c>
      <c r="J44" s="137">
        <f>J43+J39+J35+J30+J26+J21</f>
        <v>3499</v>
      </c>
      <c r="K44" s="8" t="s">
        <v>20</v>
      </c>
      <c r="M44" s="63"/>
    </row>
    <row r="45" spans="2:13" ht="15.75">
      <c r="B45" s="229"/>
      <c r="C45" s="265"/>
      <c r="D45" s="138"/>
      <c r="E45" s="229"/>
      <c r="F45" s="138"/>
      <c r="G45" s="138"/>
      <c r="H45" s="229"/>
      <c r="I45" s="138"/>
      <c r="J45" s="138"/>
      <c r="K45" s="78" t="s">
        <v>46</v>
      </c>
      <c r="M45" s="38"/>
    </row>
    <row r="46" spans="2:13" ht="15.75">
      <c r="B46" s="226">
        <f>(C46-D46)/D46</f>
        <v>-0.9491525423728814</v>
      </c>
      <c r="C46" s="251">
        <v>18</v>
      </c>
      <c r="D46" s="251">
        <v>354</v>
      </c>
      <c r="E46" s="226">
        <f>(F46-G46)/G46</f>
        <v>-0.8148389006720583</v>
      </c>
      <c r="F46" s="135">
        <v>10308.143</v>
      </c>
      <c r="G46" s="135">
        <v>55671.213</v>
      </c>
      <c r="H46" s="226">
        <f>(I46-J46)/J46</f>
        <v>-0.53125</v>
      </c>
      <c r="I46" s="135">
        <v>15</v>
      </c>
      <c r="J46" s="135">
        <v>32</v>
      </c>
      <c r="K46" s="90" t="s">
        <v>47</v>
      </c>
      <c r="M46" s="38"/>
    </row>
    <row r="47" spans="2:13" ht="15.75">
      <c r="B47" s="226">
        <f>(C47-D47)/D47</f>
        <v>-0.7846153846153846</v>
      </c>
      <c r="C47" s="135">
        <v>14</v>
      </c>
      <c r="D47" s="135">
        <v>65</v>
      </c>
      <c r="E47" s="226">
        <f>(F47-G47)/G47</f>
        <v>-0.7755416826831844</v>
      </c>
      <c r="F47" s="135">
        <v>4613</v>
      </c>
      <c r="G47" s="135">
        <v>20551.7</v>
      </c>
      <c r="H47" s="226">
        <f>(I47-J47)/J47</f>
        <v>-0.625</v>
      </c>
      <c r="I47" s="135">
        <v>3</v>
      </c>
      <c r="J47" s="135">
        <v>8</v>
      </c>
      <c r="K47" s="90" t="s">
        <v>48</v>
      </c>
      <c r="M47" s="38"/>
    </row>
    <row r="48" spans="2:13" ht="15.75">
      <c r="B48" s="226">
        <f>(C48-D48)/D48</f>
        <v>-0.03841536614645858</v>
      </c>
      <c r="C48" s="251">
        <v>801</v>
      </c>
      <c r="D48" s="135">
        <v>833</v>
      </c>
      <c r="E48" s="226">
        <f>(F48-G48)/G48</f>
        <v>-0.0014700988821220288</v>
      </c>
      <c r="F48" s="135">
        <v>83783.929</v>
      </c>
      <c r="G48" s="135">
        <v>83907.281</v>
      </c>
      <c r="H48" s="226">
        <f>(I48-J48)/J48</f>
        <v>-0.0025220680958385876</v>
      </c>
      <c r="I48" s="135">
        <v>791</v>
      </c>
      <c r="J48" s="135">
        <v>793</v>
      </c>
      <c r="K48" s="90" t="s">
        <v>60</v>
      </c>
      <c r="M48" s="38"/>
    </row>
    <row r="49" spans="2:13" ht="15.75">
      <c r="B49" s="226">
        <f>(C49-D49)/D49</f>
        <v>-0.6678832116788321</v>
      </c>
      <c r="C49" s="251">
        <v>91</v>
      </c>
      <c r="D49" s="251">
        <v>274</v>
      </c>
      <c r="E49" s="250">
        <f>(F49-G49)/G49</f>
        <v>0.20439247539837713</v>
      </c>
      <c r="F49" s="251">
        <v>28049.601</v>
      </c>
      <c r="G49" s="251">
        <v>23289.419</v>
      </c>
      <c r="H49" s="250">
        <f>(I49-J49)/J49</f>
        <v>-0.0234375</v>
      </c>
      <c r="I49" s="251">
        <v>250</v>
      </c>
      <c r="J49" s="251">
        <v>256</v>
      </c>
      <c r="K49" s="252" t="s">
        <v>132</v>
      </c>
      <c r="M49" s="38"/>
    </row>
    <row r="50" spans="2:13" ht="15.75">
      <c r="B50" s="230">
        <f>(C50-D50)/D50</f>
        <v>-0.42424242424242425</v>
      </c>
      <c r="C50" s="139">
        <v>19</v>
      </c>
      <c r="D50" s="139">
        <v>33</v>
      </c>
      <c r="E50" s="230">
        <f>(F50-G50)/G50</f>
        <v>0.11852871441968224</v>
      </c>
      <c r="F50" s="139">
        <v>3646.228</v>
      </c>
      <c r="G50" s="139">
        <v>3259.843</v>
      </c>
      <c r="H50" s="230">
        <f>(I50-J50)/J50</f>
        <v>-0.07142857142857142</v>
      </c>
      <c r="I50" s="139">
        <v>26</v>
      </c>
      <c r="J50" s="139">
        <v>28</v>
      </c>
      <c r="K50" s="91" t="s">
        <v>64</v>
      </c>
      <c r="M50" s="38"/>
    </row>
    <row r="51" spans="2:13" ht="15.75">
      <c r="B51" s="74"/>
      <c r="C51" s="74"/>
      <c r="D51" s="75"/>
      <c r="E51" s="76"/>
      <c r="F51" s="76"/>
      <c r="G51" s="75"/>
      <c r="H51" s="76"/>
      <c r="I51" s="76"/>
      <c r="J51" s="75"/>
      <c r="K51" s="77"/>
      <c r="M51" s="38"/>
    </row>
    <row r="52" spans="2:13" ht="15.75">
      <c r="B52" s="74"/>
      <c r="C52" s="74"/>
      <c r="D52" s="75"/>
      <c r="E52" s="76"/>
      <c r="F52" s="76"/>
      <c r="G52" s="75"/>
      <c r="H52" s="76"/>
      <c r="I52" s="76"/>
      <c r="J52" s="75"/>
      <c r="K52" s="77"/>
      <c r="M52" s="38"/>
    </row>
    <row r="53" spans="1:13" ht="12.75">
      <c r="A53" s="38"/>
      <c r="B53" s="38"/>
      <c r="C53" s="38"/>
      <c r="D53" s="38"/>
      <c r="E53" s="38"/>
      <c r="F53" s="3"/>
      <c r="G53" s="38"/>
      <c r="H53" s="38"/>
      <c r="I53" s="38"/>
      <c r="J53" s="38"/>
      <c r="K53" s="38"/>
      <c r="L53" s="38"/>
      <c r="M53" s="38"/>
    </row>
    <row r="54" spans="1:13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2.75">
      <c r="A55" s="38"/>
      <c r="B55" s="38"/>
      <c r="C55" s="38"/>
      <c r="D55" s="38"/>
      <c r="E55" s="38"/>
      <c r="M55" s="38"/>
    </row>
    <row r="56" spans="1:13" ht="12.75">
      <c r="A56" s="45"/>
      <c r="M56" s="38"/>
    </row>
    <row r="57" ht="12.75">
      <c r="A57" s="45"/>
    </row>
    <row r="58" ht="12.75">
      <c r="A58" s="45"/>
    </row>
    <row r="59" ht="12.75">
      <c r="A59" s="45"/>
    </row>
    <row r="60" ht="12.75">
      <c r="A60" s="45"/>
    </row>
    <row r="61" ht="12.75">
      <c r="A61" s="45"/>
    </row>
    <row r="62" ht="12.75">
      <c r="A62" s="45"/>
    </row>
    <row r="63" ht="12.75">
      <c r="A63" s="45"/>
    </row>
  </sheetData>
  <sheetProtection/>
  <mergeCells count="14">
    <mergeCell ref="B10:J10"/>
    <mergeCell ref="B12:D12"/>
    <mergeCell ref="H11:I11"/>
    <mergeCell ref="J11:K11"/>
    <mergeCell ref="B11:C11"/>
    <mergeCell ref="K12:K13"/>
    <mergeCell ref="H12:J12"/>
    <mergeCell ref="E12:G12"/>
    <mergeCell ref="B7:K7"/>
    <mergeCell ref="B8:K8"/>
    <mergeCell ref="A2:C2"/>
    <mergeCell ref="A3:C3"/>
    <mergeCell ref="I3:K3"/>
    <mergeCell ref="B9:K9"/>
  </mergeCells>
  <printOptions horizontalCentered="1" verticalCentered="1"/>
  <pageMargins left="0.2755905511811024" right="0.2755905511811024" top="0.2362204724409449" bottom="0.25" header="0.31496062992125984" footer="0.57"/>
  <pageSetup fitToHeight="1" fitToWidth="1" horizontalDpi="600" verticalDpi="600" orientation="portrait" paperSize="9" scale="84" r:id="rId2"/>
  <headerFooter alignWithMargins="0">
    <oddFooter xml:space="preserve">&amp;L
&amp;C- 2 -&amp;R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SheetLayoutView="100" zoomScalePageLayoutView="0" workbookViewId="0" topLeftCell="B4">
      <selection activeCell="D42" sqref="D42"/>
    </sheetView>
  </sheetViews>
  <sheetFormatPr defaultColWidth="9.140625" defaultRowHeight="13.5" customHeight="1"/>
  <cols>
    <col min="1" max="1" width="3.8515625" style="24" customWidth="1"/>
    <col min="2" max="3" width="10.140625" style="24" bestFit="1" customWidth="1"/>
    <col min="4" max="4" width="9.00390625" style="24" bestFit="1" customWidth="1"/>
    <col min="5" max="5" width="11.28125" style="24" bestFit="1" customWidth="1"/>
    <col min="6" max="6" width="10.140625" style="24" bestFit="1" customWidth="1"/>
    <col min="7" max="7" width="9.8515625" style="24" bestFit="1" customWidth="1"/>
    <col min="8" max="8" width="10.140625" style="24" bestFit="1" customWidth="1"/>
    <col min="9" max="11" width="8.7109375" style="24" customWidth="1"/>
    <col min="12" max="13" width="10.140625" style="24" bestFit="1" customWidth="1"/>
    <col min="14" max="14" width="14.57421875" style="24" customWidth="1"/>
    <col min="15" max="15" width="3.28125" style="24" customWidth="1"/>
    <col min="16" max="16" width="11.7109375" style="24" customWidth="1"/>
    <col min="17" max="16384" width="9.140625" style="24" customWidth="1"/>
  </cols>
  <sheetData>
    <row r="1" spans="4:16" ht="9.75" customHeight="1">
      <c r="D1" s="26"/>
      <c r="E1" s="26"/>
      <c r="F1" s="26"/>
      <c r="G1" s="26"/>
      <c r="H1" s="26"/>
      <c r="I1" s="26"/>
      <c r="J1" s="26"/>
      <c r="L1" s="27"/>
      <c r="M1" s="27"/>
      <c r="N1" s="27"/>
      <c r="O1" s="34"/>
      <c r="P1" s="26"/>
    </row>
    <row r="2" spans="1:16" ht="16.5" customHeight="1">
      <c r="A2" s="305" t="s">
        <v>54</v>
      </c>
      <c r="B2" s="278"/>
      <c r="C2" s="278"/>
      <c r="D2" s="26"/>
      <c r="E2" s="26"/>
      <c r="F2" s="26"/>
      <c r="G2" s="26"/>
      <c r="H2" s="26"/>
      <c r="I2" s="26"/>
      <c r="J2" s="26"/>
      <c r="K2" s="27"/>
      <c r="L2" s="308" t="s">
        <v>57</v>
      </c>
      <c r="M2" s="308"/>
      <c r="N2" s="308"/>
      <c r="O2" s="34"/>
      <c r="P2" s="26"/>
    </row>
    <row r="3" spans="1:16" ht="13.5" customHeight="1">
      <c r="A3" s="305" t="s">
        <v>21</v>
      </c>
      <c r="B3" s="278"/>
      <c r="C3" s="278"/>
      <c r="D3" s="26"/>
      <c r="E3" s="26"/>
      <c r="F3" s="26"/>
      <c r="G3" s="26"/>
      <c r="H3" s="26"/>
      <c r="I3" s="26"/>
      <c r="J3" s="26"/>
      <c r="L3" s="308" t="s">
        <v>131</v>
      </c>
      <c r="M3" s="308"/>
      <c r="N3" s="308"/>
      <c r="O3" s="84"/>
      <c r="P3" s="26"/>
    </row>
    <row r="4" spans="1:16" ht="8.25" customHeight="1">
      <c r="A4" s="25"/>
      <c r="B4" s="35"/>
      <c r="C4" s="26"/>
      <c r="D4" s="26"/>
      <c r="E4" s="26"/>
      <c r="F4" s="26"/>
      <c r="G4" s="26"/>
      <c r="H4" s="26"/>
      <c r="I4" s="26"/>
      <c r="J4" s="26"/>
      <c r="K4" s="27"/>
      <c r="L4" s="27"/>
      <c r="M4" s="27"/>
      <c r="N4" s="27"/>
      <c r="O4" s="36"/>
      <c r="P4" s="26"/>
    </row>
    <row r="5" spans="1:23" ht="22.5">
      <c r="A5" s="25"/>
      <c r="B5" s="282" t="s">
        <v>107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41"/>
      <c r="P5" s="41"/>
      <c r="Q5" s="41"/>
      <c r="R5" s="41"/>
      <c r="S5" s="41"/>
      <c r="T5" s="41"/>
      <c r="U5" s="41"/>
      <c r="V5" s="41"/>
      <c r="W5" s="41"/>
    </row>
    <row r="6" spans="1:16" ht="22.5">
      <c r="A6" s="25"/>
      <c r="B6" s="266" t="s">
        <v>49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53"/>
      <c r="P6" s="31"/>
    </row>
    <row r="7" spans="1:16" ht="22.5">
      <c r="A7" s="25"/>
      <c r="B7" s="266" t="s">
        <v>141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54"/>
      <c r="P7" s="33"/>
    </row>
    <row r="8" spans="1:16" ht="13.5" customHeight="1">
      <c r="A8" s="25"/>
      <c r="B8" s="277" t="s">
        <v>143</v>
      </c>
      <c r="C8" s="277"/>
      <c r="M8" s="289" t="s">
        <v>67</v>
      </c>
      <c r="N8" s="289"/>
      <c r="O8" s="53"/>
      <c r="P8" s="31"/>
    </row>
    <row r="9" spans="1:16" ht="13.5" customHeight="1">
      <c r="A9" s="25"/>
      <c r="B9" s="311" t="s">
        <v>50</v>
      </c>
      <c r="C9" s="312"/>
      <c r="D9" s="297" t="s">
        <v>129</v>
      </c>
      <c r="E9" s="298"/>
      <c r="F9" s="301" t="s">
        <v>128</v>
      </c>
      <c r="G9" s="302"/>
      <c r="H9" s="301" t="s">
        <v>127</v>
      </c>
      <c r="I9" s="302"/>
      <c r="J9" s="297" t="s">
        <v>126</v>
      </c>
      <c r="K9" s="298"/>
      <c r="L9" s="301" t="s">
        <v>125</v>
      </c>
      <c r="M9" s="302"/>
      <c r="N9" s="294" t="s">
        <v>19</v>
      </c>
      <c r="O9" s="34"/>
      <c r="P9" s="27"/>
    </row>
    <row r="10" spans="1:16" ht="9" customHeight="1">
      <c r="A10" s="25"/>
      <c r="B10" s="303"/>
      <c r="C10" s="304"/>
      <c r="D10" s="299"/>
      <c r="E10" s="300"/>
      <c r="F10" s="309"/>
      <c r="G10" s="310"/>
      <c r="H10" s="303"/>
      <c r="I10" s="304"/>
      <c r="J10" s="306"/>
      <c r="K10" s="307"/>
      <c r="L10" s="303"/>
      <c r="M10" s="304"/>
      <c r="N10" s="295"/>
      <c r="O10" s="34"/>
      <c r="P10" s="27"/>
    </row>
    <row r="11" spans="1:16" ht="14.25" customHeight="1">
      <c r="A11" s="25"/>
      <c r="B11" s="140">
        <v>2022</v>
      </c>
      <c r="C11" s="140">
        <v>2021</v>
      </c>
      <c r="D11" s="140">
        <v>2022</v>
      </c>
      <c r="E11" s="140">
        <v>2021</v>
      </c>
      <c r="F11" s="140">
        <v>2022</v>
      </c>
      <c r="G11" s="140">
        <v>2021</v>
      </c>
      <c r="H11" s="140">
        <v>2022</v>
      </c>
      <c r="I11" s="140">
        <v>2021</v>
      </c>
      <c r="J11" s="140">
        <v>2022</v>
      </c>
      <c r="K11" s="140">
        <v>2021</v>
      </c>
      <c r="L11" s="140">
        <v>2022</v>
      </c>
      <c r="M11" s="140">
        <v>2021</v>
      </c>
      <c r="N11" s="296"/>
      <c r="O11" s="55"/>
      <c r="P11" s="46"/>
    </row>
    <row r="12" spans="1:16" ht="12" customHeight="1">
      <c r="A12" s="25"/>
      <c r="B12" s="141">
        <f>'P2'!F14</f>
        <v>1743.242</v>
      </c>
      <c r="C12" s="141">
        <f>'P2'!G14</f>
        <v>1067.656</v>
      </c>
      <c r="D12" s="141">
        <v>0</v>
      </c>
      <c r="E12" s="141">
        <v>0</v>
      </c>
      <c r="F12" s="141">
        <v>540.662</v>
      </c>
      <c r="G12" s="141">
        <v>649.78</v>
      </c>
      <c r="H12" s="141">
        <v>0</v>
      </c>
      <c r="I12" s="141">
        <v>0</v>
      </c>
      <c r="J12" s="141">
        <v>1202.58</v>
      </c>
      <c r="K12" s="141">
        <v>417.876</v>
      </c>
      <c r="L12" s="141">
        <f aca="true" t="shared" si="0" ref="L12:L18">B12-J12-H12-F12-D12</f>
        <v>0</v>
      </c>
      <c r="M12" s="141">
        <f aca="true" t="shared" si="1" ref="M12:M18">C12-E12-G12-I12-K12</f>
        <v>0</v>
      </c>
      <c r="N12" s="89" t="s">
        <v>68</v>
      </c>
      <c r="O12" s="56"/>
      <c r="P12" s="57"/>
    </row>
    <row r="13" spans="1:16" ht="12" customHeight="1">
      <c r="A13" s="25"/>
      <c r="B13" s="141">
        <f>'P2'!F15</f>
        <v>4405.3</v>
      </c>
      <c r="C13" s="141">
        <f>'P2'!G15</f>
        <v>6050.118</v>
      </c>
      <c r="D13" s="141">
        <v>688</v>
      </c>
      <c r="E13" s="141">
        <v>4221</v>
      </c>
      <c r="F13" s="141">
        <v>660.3</v>
      </c>
      <c r="G13" s="141">
        <f>128+59.767</f>
        <v>187.767</v>
      </c>
      <c r="H13" s="141">
        <v>0</v>
      </c>
      <c r="I13" s="141">
        <v>0</v>
      </c>
      <c r="J13" s="141">
        <v>17</v>
      </c>
      <c r="K13" s="141">
        <v>130.6</v>
      </c>
      <c r="L13" s="141">
        <f t="shared" si="0"/>
        <v>3040</v>
      </c>
      <c r="M13" s="141">
        <f t="shared" si="1"/>
        <v>1510.7510000000004</v>
      </c>
      <c r="N13" s="89" t="s">
        <v>69</v>
      </c>
      <c r="O13" s="56"/>
      <c r="P13" s="57"/>
    </row>
    <row r="14" spans="1:16" ht="12" customHeight="1">
      <c r="A14" s="25"/>
      <c r="B14" s="141">
        <f>'P2'!F16</f>
        <v>24434.336</v>
      </c>
      <c r="C14" s="141">
        <f>'P2'!G16</f>
        <v>4718.666</v>
      </c>
      <c r="D14" s="141">
        <v>14175.092</v>
      </c>
      <c r="E14" s="141">
        <v>224</v>
      </c>
      <c r="F14" s="141">
        <v>2465.83</v>
      </c>
      <c r="G14" s="141">
        <v>198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0"/>
        <v>7793.414000000001</v>
      </c>
      <c r="M14" s="141">
        <f t="shared" si="1"/>
        <v>4296.666</v>
      </c>
      <c r="N14" s="89" t="s">
        <v>70</v>
      </c>
      <c r="O14" s="56"/>
      <c r="P14" s="57"/>
    </row>
    <row r="15" spans="1:16" ht="12" customHeight="1">
      <c r="A15" s="25"/>
      <c r="B15" s="141">
        <f>'P2'!F17</f>
        <v>49644.195</v>
      </c>
      <c r="C15" s="141">
        <f>'P2'!G17</f>
        <v>52908.412</v>
      </c>
      <c r="D15" s="141">
        <v>8594.009</v>
      </c>
      <c r="E15" s="141">
        <v>461.396</v>
      </c>
      <c r="F15" s="141">
        <v>1622.482</v>
      </c>
      <c r="G15" s="141">
        <v>1379.068</v>
      </c>
      <c r="H15" s="141">
        <v>0</v>
      </c>
      <c r="I15" s="141">
        <v>155.611</v>
      </c>
      <c r="J15" s="141">
        <v>4140.64</v>
      </c>
      <c r="K15" s="141">
        <v>452.643</v>
      </c>
      <c r="L15" s="141">
        <f t="shared" si="0"/>
        <v>35287.064000000006</v>
      </c>
      <c r="M15" s="141">
        <f t="shared" si="1"/>
        <v>50459.694</v>
      </c>
      <c r="N15" s="89" t="s">
        <v>71</v>
      </c>
      <c r="O15" s="56"/>
      <c r="P15" s="57"/>
    </row>
    <row r="16" spans="1:16" ht="12" customHeight="1">
      <c r="A16" s="25"/>
      <c r="B16" s="141">
        <f>'P2'!F18</f>
        <v>18409.792</v>
      </c>
      <c r="C16" s="141">
        <f>'P2'!G18</f>
        <v>41249.501</v>
      </c>
      <c r="D16" s="141">
        <v>0</v>
      </c>
      <c r="E16" s="141">
        <v>2257.953</v>
      </c>
      <c r="F16" s="141">
        <v>83.98</v>
      </c>
      <c r="G16" s="141">
        <v>7.425</v>
      </c>
      <c r="H16" s="141">
        <v>0</v>
      </c>
      <c r="I16" s="141">
        <v>0</v>
      </c>
      <c r="J16" s="141">
        <v>623.905</v>
      </c>
      <c r="K16" s="141">
        <v>0</v>
      </c>
      <c r="L16" s="141">
        <f t="shared" si="0"/>
        <v>17701.907000000003</v>
      </c>
      <c r="M16" s="141">
        <f t="shared" si="1"/>
        <v>38984.12299999999</v>
      </c>
      <c r="N16" s="89" t="s">
        <v>72</v>
      </c>
      <c r="O16" s="56"/>
      <c r="P16" s="57"/>
    </row>
    <row r="17" spans="1:16" ht="12" customHeight="1">
      <c r="A17" s="25"/>
      <c r="B17" s="141">
        <f>'P2'!F19</f>
        <v>31976.935</v>
      </c>
      <c r="C17" s="141">
        <f>'P2'!G19</f>
        <v>43198.884</v>
      </c>
      <c r="D17" s="141">
        <v>0</v>
      </c>
      <c r="E17" s="141">
        <v>711</v>
      </c>
      <c r="F17" s="141">
        <v>2602</v>
      </c>
      <c r="G17" s="141">
        <v>2176.624</v>
      </c>
      <c r="H17" s="141">
        <v>811</v>
      </c>
      <c r="I17" s="141">
        <v>3808</v>
      </c>
      <c r="J17" s="141">
        <v>5525</v>
      </c>
      <c r="K17" s="141">
        <v>1018</v>
      </c>
      <c r="L17" s="141">
        <f t="shared" si="0"/>
        <v>23038.935</v>
      </c>
      <c r="M17" s="141">
        <f t="shared" si="1"/>
        <v>35485.259999999995</v>
      </c>
      <c r="N17" s="89" t="s">
        <v>73</v>
      </c>
      <c r="O17" s="56"/>
      <c r="P17" s="57"/>
    </row>
    <row r="18" spans="1:16" ht="12" customHeight="1">
      <c r="A18" s="25"/>
      <c r="B18" s="141">
        <f>'P2'!F20</f>
        <v>18901.769</v>
      </c>
      <c r="C18" s="141">
        <f>'P2'!G20</f>
        <v>4318</v>
      </c>
      <c r="D18" s="141">
        <v>0</v>
      </c>
      <c r="E18" s="141">
        <v>0</v>
      </c>
      <c r="F18" s="141">
        <v>763.5</v>
      </c>
      <c r="G18" s="141">
        <v>301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0"/>
        <v>18138.269</v>
      </c>
      <c r="M18" s="141">
        <f t="shared" si="1"/>
        <v>4017</v>
      </c>
      <c r="N18" s="89" t="s">
        <v>74</v>
      </c>
      <c r="O18" s="56"/>
      <c r="P18" s="57"/>
    </row>
    <row r="19" spans="1:16" s="49" customFormat="1" ht="12" customHeight="1">
      <c r="A19" s="47"/>
      <c r="B19" s="142">
        <f>SUM(B12:B18)</f>
        <v>149515.56900000002</v>
      </c>
      <c r="C19" s="142">
        <f>SUM(C12:C18)</f>
        <v>153511.237</v>
      </c>
      <c r="D19" s="142">
        <f aca="true" t="shared" si="2" ref="D19:L19">SUM(D12:D18)</f>
        <v>23457.101000000002</v>
      </c>
      <c r="E19" s="142">
        <f>SUM(E12:E18)</f>
        <v>7875.349</v>
      </c>
      <c r="F19" s="142">
        <f t="shared" si="2"/>
        <v>8738.753999999999</v>
      </c>
      <c r="G19" s="142">
        <f>SUM(G12:G18)</f>
        <v>4899.664</v>
      </c>
      <c r="H19" s="142">
        <f t="shared" si="2"/>
        <v>811</v>
      </c>
      <c r="I19" s="142">
        <f>SUM(I12:I18)</f>
        <v>3963.611</v>
      </c>
      <c r="J19" s="142">
        <f t="shared" si="2"/>
        <v>11509.125</v>
      </c>
      <c r="K19" s="142">
        <f>SUM(K12:K18)</f>
        <v>2019.119</v>
      </c>
      <c r="L19" s="142">
        <f t="shared" si="2"/>
        <v>104999.589</v>
      </c>
      <c r="M19" s="142">
        <f>SUM(M12:M18)</f>
        <v>134753.494</v>
      </c>
      <c r="N19" s="48" t="s">
        <v>75</v>
      </c>
      <c r="O19" s="58"/>
      <c r="P19" s="57"/>
    </row>
    <row r="20" spans="1:16" ht="12" customHeight="1">
      <c r="A20" s="25"/>
      <c r="B20" s="141">
        <f>'P2'!F22</f>
        <v>22292.007</v>
      </c>
      <c r="C20" s="141">
        <f>'P2'!G22</f>
        <v>33231.577</v>
      </c>
      <c r="D20" s="141">
        <v>201.25</v>
      </c>
      <c r="E20" s="141">
        <v>0</v>
      </c>
      <c r="F20" s="141">
        <v>8145.476</v>
      </c>
      <c r="G20" s="141">
        <f>1860+5049.447</f>
        <v>6909.447</v>
      </c>
      <c r="H20" s="141">
        <v>0</v>
      </c>
      <c r="I20" s="141">
        <v>0</v>
      </c>
      <c r="J20" s="141">
        <v>0</v>
      </c>
      <c r="K20" s="141">
        <v>0</v>
      </c>
      <c r="L20" s="141">
        <f>B20-J20-H20-F20-D20</f>
        <v>13945.281000000003</v>
      </c>
      <c r="M20" s="141">
        <f>C20-E20-G20-I20-K20</f>
        <v>26322.129999999997</v>
      </c>
      <c r="N20" s="89" t="s">
        <v>76</v>
      </c>
      <c r="O20" s="56"/>
      <c r="P20" s="57"/>
    </row>
    <row r="21" spans="1:16" ht="12" customHeight="1">
      <c r="A21" s="25"/>
      <c r="B21" s="141">
        <f>'P2'!F23</f>
        <v>33179.934</v>
      </c>
      <c r="C21" s="141">
        <f>'P2'!G23</f>
        <v>30999.013</v>
      </c>
      <c r="D21" s="141">
        <v>712.983</v>
      </c>
      <c r="E21" s="141">
        <v>123</v>
      </c>
      <c r="F21" s="141">
        <v>13309.864</v>
      </c>
      <c r="G21" s="141">
        <f>1530.942+3196.675</f>
        <v>4727.617</v>
      </c>
      <c r="H21" s="141">
        <v>0</v>
      </c>
      <c r="I21" s="141">
        <v>0</v>
      </c>
      <c r="J21" s="141">
        <v>2631.512</v>
      </c>
      <c r="K21" s="141">
        <v>0</v>
      </c>
      <c r="L21" s="141">
        <f>B21-J21-H21-F21-D21</f>
        <v>16525.575000000004</v>
      </c>
      <c r="M21" s="141">
        <f>C21-E21-G21-I21-K21</f>
        <v>26148.396</v>
      </c>
      <c r="N21" s="89" t="s">
        <v>77</v>
      </c>
      <c r="O21" s="56"/>
      <c r="P21" s="57"/>
    </row>
    <row r="22" spans="1:16" ht="12" customHeight="1">
      <c r="A22" s="25"/>
      <c r="B22" s="141">
        <f>'P2'!F24</f>
        <v>24070.992</v>
      </c>
      <c r="C22" s="141">
        <f>'P2'!G24</f>
        <v>13288.801</v>
      </c>
      <c r="D22" s="141">
        <v>1496.81</v>
      </c>
      <c r="E22" s="141">
        <v>0</v>
      </c>
      <c r="F22" s="141">
        <v>4139.635</v>
      </c>
      <c r="G22" s="141">
        <v>322.681</v>
      </c>
      <c r="H22" s="141">
        <v>0</v>
      </c>
      <c r="I22" s="141">
        <v>0</v>
      </c>
      <c r="J22" s="141">
        <v>0</v>
      </c>
      <c r="K22" s="141">
        <v>0</v>
      </c>
      <c r="L22" s="141">
        <f>B22-J22-H22-F22-D22</f>
        <v>18434.546999999995</v>
      </c>
      <c r="M22" s="141">
        <f>C22-E22-G22-I22-K22</f>
        <v>12966.119999999999</v>
      </c>
      <c r="N22" s="89" t="s">
        <v>78</v>
      </c>
      <c r="O22" s="56"/>
      <c r="P22" s="57"/>
    </row>
    <row r="23" spans="1:16" ht="12" customHeight="1">
      <c r="A23" s="25"/>
      <c r="B23" s="141">
        <f>'P2'!F25</f>
        <v>23624.995</v>
      </c>
      <c r="C23" s="141">
        <f>'P2'!G25</f>
        <v>15828.794</v>
      </c>
      <c r="D23" s="141">
        <v>1993</v>
      </c>
      <c r="E23" s="141">
        <v>2290</v>
      </c>
      <c r="F23" s="141">
        <v>2386.208</v>
      </c>
      <c r="G23" s="141">
        <v>1182.272</v>
      </c>
      <c r="H23" s="141">
        <v>0</v>
      </c>
      <c r="I23" s="141">
        <v>0</v>
      </c>
      <c r="J23" s="141">
        <v>0</v>
      </c>
      <c r="K23" s="141">
        <v>0</v>
      </c>
      <c r="L23" s="141">
        <f>B23-J23-H23-F23-D23</f>
        <v>19245.787</v>
      </c>
      <c r="M23" s="141">
        <f>C23-E23-G23-I23-K23</f>
        <v>12356.522</v>
      </c>
      <c r="N23" s="89" t="s">
        <v>79</v>
      </c>
      <c r="O23" s="56"/>
      <c r="P23" s="57"/>
    </row>
    <row r="24" spans="1:16" s="49" customFormat="1" ht="12" customHeight="1">
      <c r="A24" s="47"/>
      <c r="B24" s="142">
        <f>SUM(B20:B23)</f>
        <v>103167.928</v>
      </c>
      <c r="C24" s="142">
        <f>SUM(C20:C23)</f>
        <v>93348.185</v>
      </c>
      <c r="D24" s="142">
        <f aca="true" t="shared" si="3" ref="D24:L24">SUM(D20:D23)</f>
        <v>4404.043</v>
      </c>
      <c r="E24" s="142">
        <f>SUM(E20:E23)</f>
        <v>2413</v>
      </c>
      <c r="F24" s="142">
        <f t="shared" si="3"/>
        <v>27981.182999999997</v>
      </c>
      <c r="G24" s="142">
        <f>SUM(G20:G23)</f>
        <v>13142.017</v>
      </c>
      <c r="H24" s="142">
        <f t="shared" si="3"/>
        <v>0</v>
      </c>
      <c r="I24" s="142">
        <f>SUM(I20:I23)</f>
        <v>0</v>
      </c>
      <c r="J24" s="142">
        <f t="shared" si="3"/>
        <v>2631.512</v>
      </c>
      <c r="K24" s="142">
        <f>SUM(K20:K23)</f>
        <v>0</v>
      </c>
      <c r="L24" s="142">
        <f t="shared" si="3"/>
        <v>68151.19</v>
      </c>
      <c r="M24" s="142">
        <f>SUM(M20:M23)</f>
        <v>77793.16799999999</v>
      </c>
      <c r="N24" s="48" t="s">
        <v>80</v>
      </c>
      <c r="O24" s="58"/>
      <c r="P24" s="57"/>
    </row>
    <row r="25" spans="1:16" ht="12" customHeight="1">
      <c r="A25" s="25"/>
      <c r="B25" s="141">
        <f>'P2'!F27</f>
        <v>36670.412</v>
      </c>
      <c r="C25" s="141">
        <f>'P2'!G27</f>
        <v>37462.62</v>
      </c>
      <c r="D25" s="141">
        <v>13207.806</v>
      </c>
      <c r="E25" s="141">
        <v>5470</v>
      </c>
      <c r="F25" s="141">
        <v>9159.976</v>
      </c>
      <c r="G25" s="141">
        <v>7323.8</v>
      </c>
      <c r="H25" s="141">
        <v>0</v>
      </c>
      <c r="I25" s="141">
        <v>0</v>
      </c>
      <c r="J25" s="141">
        <v>0</v>
      </c>
      <c r="K25" s="141">
        <v>0</v>
      </c>
      <c r="L25" s="141">
        <f>B25-J25-H25-F25-D25</f>
        <v>14302.629999999994</v>
      </c>
      <c r="M25" s="141">
        <f>C25-E25-G25-I25-K25</f>
        <v>24668.820000000003</v>
      </c>
      <c r="N25" s="89" t="s">
        <v>81</v>
      </c>
      <c r="O25" s="56"/>
      <c r="P25" s="57"/>
    </row>
    <row r="26" spans="1:16" ht="12" customHeight="1">
      <c r="A26" s="25"/>
      <c r="B26" s="141">
        <f>'P2'!F28</f>
        <v>45243.053</v>
      </c>
      <c r="C26" s="141">
        <f>'P2'!G28</f>
        <v>45003.713</v>
      </c>
      <c r="D26" s="141">
        <v>1355.48</v>
      </c>
      <c r="E26" s="141">
        <v>2814.383</v>
      </c>
      <c r="F26" s="141">
        <v>1320.992</v>
      </c>
      <c r="G26" s="141">
        <v>681.387</v>
      </c>
      <c r="H26" s="141">
        <v>0</v>
      </c>
      <c r="I26" s="141">
        <v>0</v>
      </c>
      <c r="J26" s="141">
        <v>0</v>
      </c>
      <c r="K26" s="141">
        <v>0</v>
      </c>
      <c r="L26" s="141">
        <f>B26-J26-H26-F26-D26</f>
        <v>42566.581</v>
      </c>
      <c r="M26" s="141">
        <f>C26-E26-G26-I26-K26</f>
        <v>41507.943</v>
      </c>
      <c r="N26" s="89" t="s">
        <v>82</v>
      </c>
      <c r="O26" s="56"/>
      <c r="P26" s="57"/>
    </row>
    <row r="27" spans="1:16" ht="12" customHeight="1">
      <c r="A27" s="25"/>
      <c r="B27" s="141">
        <f>'P2'!F29</f>
        <v>29287.576</v>
      </c>
      <c r="C27" s="141">
        <f>'P2'!G29</f>
        <v>42848.676</v>
      </c>
      <c r="D27" s="141">
        <v>217</v>
      </c>
      <c r="E27" s="141">
        <v>0</v>
      </c>
      <c r="F27" s="141">
        <v>5176.211</v>
      </c>
      <c r="G27" s="141">
        <v>4380.521</v>
      </c>
      <c r="H27" s="141">
        <v>0</v>
      </c>
      <c r="I27" s="141">
        <v>0</v>
      </c>
      <c r="J27" s="141">
        <v>0</v>
      </c>
      <c r="K27" s="141">
        <v>0</v>
      </c>
      <c r="L27" s="141">
        <f>B27-J27-H27-F27-D27</f>
        <v>23894.365</v>
      </c>
      <c r="M27" s="141">
        <f>C27-E27-G27-I27-K27</f>
        <v>38468.155</v>
      </c>
      <c r="N27" s="89" t="s">
        <v>83</v>
      </c>
      <c r="O27" s="56"/>
      <c r="P27" s="57"/>
    </row>
    <row r="28" spans="1:16" s="49" customFormat="1" ht="12" customHeight="1">
      <c r="A28" s="47"/>
      <c r="B28" s="142">
        <f>SUM(B25:B27)</f>
        <v>111201.041</v>
      </c>
      <c r="C28" s="142">
        <f>SUM(C25:C27)</f>
        <v>125315.00900000002</v>
      </c>
      <c r="D28" s="142">
        <f aca="true" t="shared" si="4" ref="D28:L28">SUM(D25:D27)</f>
        <v>14780.286</v>
      </c>
      <c r="E28" s="142">
        <f>SUM(E25:E27)</f>
        <v>8284.383</v>
      </c>
      <c r="F28" s="142">
        <f t="shared" si="4"/>
        <v>15657.179</v>
      </c>
      <c r="G28" s="142">
        <f>SUM(G25:G27)</f>
        <v>12385.707999999999</v>
      </c>
      <c r="H28" s="142">
        <f t="shared" si="4"/>
        <v>0</v>
      </c>
      <c r="I28" s="142">
        <f>SUM(I25:I27)</f>
        <v>0</v>
      </c>
      <c r="J28" s="142">
        <f t="shared" si="4"/>
        <v>0</v>
      </c>
      <c r="K28" s="142">
        <f>SUM(K25:K27)</f>
        <v>0</v>
      </c>
      <c r="L28" s="142">
        <f t="shared" si="4"/>
        <v>80763.576</v>
      </c>
      <c r="M28" s="142">
        <f>SUM(M25:M27)</f>
        <v>104644.918</v>
      </c>
      <c r="N28" s="48" t="s">
        <v>84</v>
      </c>
      <c r="O28" s="58"/>
      <c r="P28" s="57"/>
    </row>
    <row r="29" spans="1:16" ht="12" customHeight="1">
      <c r="A29" s="25"/>
      <c r="B29" s="141">
        <f>'P2'!F31</f>
        <v>13280.351</v>
      </c>
      <c r="C29" s="141">
        <f>'P2'!G31</f>
        <v>9440.45</v>
      </c>
      <c r="D29" s="141">
        <v>2553</v>
      </c>
      <c r="E29" s="141">
        <v>83</v>
      </c>
      <c r="F29" s="141">
        <v>899.424</v>
      </c>
      <c r="G29" s="141">
        <v>705</v>
      </c>
      <c r="H29" s="141">
        <v>9827.927</v>
      </c>
      <c r="I29" s="141">
        <v>1180.6</v>
      </c>
      <c r="J29" s="141">
        <v>0</v>
      </c>
      <c r="K29" s="141">
        <v>80</v>
      </c>
      <c r="L29" s="141">
        <f>B29-J29-H29-F29-D29</f>
        <v>0</v>
      </c>
      <c r="M29" s="141">
        <f>C29-E29-G29-I29-K29</f>
        <v>7391.85</v>
      </c>
      <c r="N29" s="89" t="s">
        <v>85</v>
      </c>
      <c r="O29" s="56"/>
      <c r="P29" s="57"/>
    </row>
    <row r="30" spans="1:16" ht="12" customHeight="1">
      <c r="A30" s="25"/>
      <c r="B30" s="141">
        <f>'P2'!F32</f>
        <v>18987.252</v>
      </c>
      <c r="C30" s="141">
        <f>'P2'!G32</f>
        <v>16894.6</v>
      </c>
      <c r="D30" s="141">
        <v>4241</v>
      </c>
      <c r="E30" s="141">
        <v>1422</v>
      </c>
      <c r="F30" s="141">
        <v>1788</v>
      </c>
      <c r="G30" s="141">
        <v>3225.5</v>
      </c>
      <c r="H30" s="141">
        <v>7490</v>
      </c>
      <c r="I30" s="141">
        <v>2033</v>
      </c>
      <c r="J30" s="141">
        <v>4207.2</v>
      </c>
      <c r="K30" s="141">
        <v>9412.5</v>
      </c>
      <c r="L30" s="141">
        <f>B30-J30-H30-F30-D30</f>
        <v>1261.0519999999997</v>
      </c>
      <c r="M30" s="141">
        <f>C30-E30-G30-I30-K30</f>
        <v>801.5999999999985</v>
      </c>
      <c r="N30" s="89" t="s">
        <v>86</v>
      </c>
      <c r="O30" s="56"/>
      <c r="P30" s="57"/>
    </row>
    <row r="31" spans="1:16" ht="12" customHeight="1">
      <c r="A31" s="25"/>
      <c r="B31" s="141">
        <f>'P2'!F33</f>
        <v>55176.65</v>
      </c>
      <c r="C31" s="141">
        <f>'P2'!G33</f>
        <v>24417.055</v>
      </c>
      <c r="D31" s="141">
        <v>10843</v>
      </c>
      <c r="E31" s="141">
        <v>11414.155</v>
      </c>
      <c r="F31" s="141">
        <v>3651</v>
      </c>
      <c r="G31" s="141">
        <v>5373.4</v>
      </c>
      <c r="H31" s="141">
        <v>19752</v>
      </c>
      <c r="I31" s="141">
        <v>0</v>
      </c>
      <c r="J31" s="141">
        <v>8328</v>
      </c>
      <c r="K31" s="141">
        <v>1967</v>
      </c>
      <c r="L31" s="141">
        <f>B31-J31-H31-F31-D31</f>
        <v>12602.650000000001</v>
      </c>
      <c r="M31" s="141">
        <f>C31-E31-G31-I31-K31</f>
        <v>5662.5</v>
      </c>
      <c r="N31" s="89" t="s">
        <v>87</v>
      </c>
      <c r="O31" s="56"/>
      <c r="P31" s="57"/>
    </row>
    <row r="32" spans="1:16" ht="12" customHeight="1">
      <c r="A32" s="25"/>
      <c r="B32" s="141">
        <f>'P2'!F34</f>
        <v>82133.049</v>
      </c>
      <c r="C32" s="141">
        <f>'P2'!G34</f>
        <v>58740.608</v>
      </c>
      <c r="D32" s="141">
        <v>22172</v>
      </c>
      <c r="E32" s="141">
        <v>2260</v>
      </c>
      <c r="F32" s="141">
        <v>4336.899</v>
      </c>
      <c r="G32" s="141">
        <v>8261.608</v>
      </c>
      <c r="H32" s="141">
        <v>0</v>
      </c>
      <c r="I32" s="141">
        <v>0</v>
      </c>
      <c r="J32" s="141">
        <v>24801.197</v>
      </c>
      <c r="K32" s="141">
        <v>7292.002</v>
      </c>
      <c r="L32" s="141">
        <f>B32-J32-H32-F32-D32</f>
        <v>30822.953</v>
      </c>
      <c r="M32" s="141">
        <f>C32-E32-G32-I32-K32</f>
        <v>40926.998</v>
      </c>
      <c r="N32" s="89" t="s">
        <v>88</v>
      </c>
      <c r="O32" s="56"/>
      <c r="P32" s="57"/>
    </row>
    <row r="33" spans="1:16" s="49" customFormat="1" ht="12" customHeight="1">
      <c r="A33" s="47"/>
      <c r="B33" s="142">
        <f>SUM(B29:B32)</f>
        <v>169577.302</v>
      </c>
      <c r="C33" s="142">
        <f>SUM(C29:C32)</f>
        <v>109492.71299999999</v>
      </c>
      <c r="D33" s="142">
        <f aca="true" t="shared" si="5" ref="D33:L33">SUM(D29:D32)</f>
        <v>39809</v>
      </c>
      <c r="E33" s="142">
        <f>SUM(E29:E32)</f>
        <v>15179.155</v>
      </c>
      <c r="F33" s="142">
        <f t="shared" si="5"/>
        <v>10675.323</v>
      </c>
      <c r="G33" s="142">
        <f>SUM(G29:G32)</f>
        <v>17565.508</v>
      </c>
      <c r="H33" s="142">
        <f t="shared" si="5"/>
        <v>37069.926999999996</v>
      </c>
      <c r="I33" s="142">
        <f>SUM(I29:I32)</f>
        <v>3213.6</v>
      </c>
      <c r="J33" s="142">
        <f t="shared" si="5"/>
        <v>37336.397</v>
      </c>
      <c r="K33" s="142">
        <f>SUM(K29:K32)</f>
        <v>18751.502</v>
      </c>
      <c r="L33" s="142">
        <f t="shared" si="5"/>
        <v>44686.655</v>
      </c>
      <c r="M33" s="142">
        <f>SUM(M29:M32)</f>
        <v>54782.948</v>
      </c>
      <c r="N33" s="48" t="s">
        <v>89</v>
      </c>
      <c r="O33" s="58"/>
      <c r="P33" s="57"/>
    </row>
    <row r="34" spans="1:21" ht="12" customHeight="1">
      <c r="A34" s="25"/>
      <c r="B34" s="141">
        <f>'P2'!F36</f>
        <v>17686.461</v>
      </c>
      <c r="C34" s="141">
        <f>'P2'!G36</f>
        <v>25587.866</v>
      </c>
      <c r="D34" s="141">
        <v>156.7</v>
      </c>
      <c r="E34" s="141">
        <v>0</v>
      </c>
      <c r="F34" s="141">
        <v>1841.969</v>
      </c>
      <c r="G34" s="141">
        <v>2003.134</v>
      </c>
      <c r="H34" s="141">
        <v>0</v>
      </c>
      <c r="I34" s="141">
        <v>0</v>
      </c>
      <c r="J34" s="141">
        <v>0</v>
      </c>
      <c r="K34" s="141">
        <v>0</v>
      </c>
      <c r="L34" s="141">
        <f>B34-J34-H34-F34-D34</f>
        <v>15687.791999999998</v>
      </c>
      <c r="M34" s="141">
        <f>C34-E34-G34-I34-K34</f>
        <v>23584.732000000004</v>
      </c>
      <c r="N34" s="89" t="s">
        <v>90</v>
      </c>
      <c r="O34" s="56"/>
      <c r="P34" s="57"/>
      <c r="U34" s="261"/>
    </row>
    <row r="35" spans="1:16" ht="12" customHeight="1">
      <c r="A35" s="25"/>
      <c r="B35" s="141">
        <f>'P2'!F37</f>
        <v>5918.509</v>
      </c>
      <c r="C35" s="141">
        <f>'P2'!G37</f>
        <v>7406.392</v>
      </c>
      <c r="D35" s="141">
        <v>766.779</v>
      </c>
      <c r="E35" s="141">
        <v>77.896</v>
      </c>
      <c r="F35" s="141">
        <v>982.378</v>
      </c>
      <c r="G35" s="141">
        <v>959.266</v>
      </c>
      <c r="H35" s="141">
        <v>0</v>
      </c>
      <c r="I35" s="141">
        <v>0</v>
      </c>
      <c r="J35" s="141">
        <v>0</v>
      </c>
      <c r="K35" s="141">
        <v>0</v>
      </c>
      <c r="L35" s="141">
        <f>B35-J35-H35-F35-D35</f>
        <v>4169.352000000001</v>
      </c>
      <c r="M35" s="141">
        <f>C35-E35-G35-I35-K35</f>
        <v>6369.2300000000005</v>
      </c>
      <c r="N35" s="89" t="s">
        <v>91</v>
      </c>
      <c r="O35" s="56"/>
      <c r="P35" s="57"/>
    </row>
    <row r="36" spans="1:16" ht="12" customHeight="1">
      <c r="A36" s="25"/>
      <c r="B36" s="141">
        <f>'P2'!F38</f>
        <v>7780.054</v>
      </c>
      <c r="C36" s="141">
        <f>'P2'!G38</f>
        <v>8183.064</v>
      </c>
      <c r="D36" s="141">
        <v>0</v>
      </c>
      <c r="E36" s="141">
        <v>0</v>
      </c>
      <c r="F36" s="141">
        <v>1528.043</v>
      </c>
      <c r="G36" s="141">
        <v>2213.544</v>
      </c>
      <c r="H36" s="141">
        <v>0</v>
      </c>
      <c r="I36" s="141">
        <v>0</v>
      </c>
      <c r="J36" s="141">
        <v>0</v>
      </c>
      <c r="K36" s="141">
        <v>0</v>
      </c>
      <c r="L36" s="141">
        <f>B36-J36-H36-F36-D36</f>
        <v>6252.011</v>
      </c>
      <c r="M36" s="141">
        <f>C36-E36-G36-I36-K36</f>
        <v>5969.52</v>
      </c>
      <c r="N36" s="89" t="s">
        <v>92</v>
      </c>
      <c r="O36" s="56"/>
      <c r="P36" s="57"/>
    </row>
    <row r="37" spans="1:16" s="49" customFormat="1" ht="12" customHeight="1">
      <c r="A37" s="47"/>
      <c r="B37" s="142">
        <f>SUM(B34:B36)</f>
        <v>31385.024</v>
      </c>
      <c r="C37" s="142">
        <f>SUM(C34:C36)</f>
        <v>41177.322</v>
      </c>
      <c r="D37" s="142">
        <f aca="true" t="shared" si="6" ref="D37:L37">SUM(D34:D36)</f>
        <v>923.479</v>
      </c>
      <c r="E37" s="142">
        <f>SUM(E34:E36)</f>
        <v>77.896</v>
      </c>
      <c r="F37" s="142">
        <f t="shared" si="6"/>
        <v>4352.39</v>
      </c>
      <c r="G37" s="142">
        <f>SUM(G34:G36)</f>
        <v>5175.9439999999995</v>
      </c>
      <c r="H37" s="142">
        <f t="shared" si="6"/>
        <v>0</v>
      </c>
      <c r="I37" s="142">
        <f>SUM(I34:I36)</f>
        <v>0</v>
      </c>
      <c r="J37" s="142">
        <f t="shared" si="6"/>
        <v>0</v>
      </c>
      <c r="K37" s="142">
        <f>SUM(K34:K36)</f>
        <v>0</v>
      </c>
      <c r="L37" s="142">
        <f t="shared" si="6"/>
        <v>26109.155</v>
      </c>
      <c r="M37" s="142">
        <f>SUM(M34:M36)</f>
        <v>35923.482</v>
      </c>
      <c r="N37" s="48" t="s">
        <v>93</v>
      </c>
      <c r="O37" s="58"/>
      <c r="P37" s="57"/>
    </row>
    <row r="38" spans="1:16" ht="12" customHeight="1">
      <c r="A38" s="25"/>
      <c r="B38" s="141">
        <f>'P2'!F40</f>
        <v>41515.093</v>
      </c>
      <c r="C38" s="141">
        <f>'P2'!G40</f>
        <v>25214.307</v>
      </c>
      <c r="D38" s="141">
        <v>0</v>
      </c>
      <c r="E38" s="141">
        <v>0</v>
      </c>
      <c r="F38" s="141">
        <v>3988.516</v>
      </c>
      <c r="G38" s="141">
        <v>2949.154</v>
      </c>
      <c r="H38" s="141">
        <v>70.311</v>
      </c>
      <c r="I38" s="141">
        <v>0</v>
      </c>
      <c r="J38" s="141">
        <v>1634.548</v>
      </c>
      <c r="K38" s="141">
        <v>2159.976</v>
      </c>
      <c r="L38" s="141">
        <f>B38-J38-H38-F38-D38</f>
        <v>35821.71799999999</v>
      </c>
      <c r="M38" s="141">
        <f>C38-E38-G38-I38-K38</f>
        <v>20105.177000000003</v>
      </c>
      <c r="N38" s="89" t="s">
        <v>94</v>
      </c>
      <c r="O38" s="56"/>
      <c r="P38" s="57"/>
    </row>
    <row r="39" spans="1:16" ht="12" customHeight="1">
      <c r="A39" s="25"/>
      <c r="B39" s="141">
        <f>'P2'!F41</f>
        <v>22505.299</v>
      </c>
      <c r="C39" s="141">
        <f>'P2'!G41</f>
        <v>16777.506</v>
      </c>
      <c r="D39" s="141">
        <v>0</v>
      </c>
      <c r="E39" s="141">
        <v>0</v>
      </c>
      <c r="F39" s="141">
        <v>3487.403</v>
      </c>
      <c r="G39" s="141">
        <v>2590.314</v>
      </c>
      <c r="H39" s="141">
        <v>0</v>
      </c>
      <c r="I39" s="141">
        <v>0</v>
      </c>
      <c r="J39" s="141">
        <v>8745.98</v>
      </c>
      <c r="K39" s="141">
        <v>3989.675</v>
      </c>
      <c r="L39" s="141">
        <f>B39-J39-H39-F39-D39</f>
        <v>10271.916</v>
      </c>
      <c r="M39" s="141">
        <f>C39-E39-G39-I39-K39</f>
        <v>10197.517</v>
      </c>
      <c r="N39" s="89" t="s">
        <v>95</v>
      </c>
      <c r="O39" s="56"/>
      <c r="P39" s="57"/>
    </row>
    <row r="40" spans="1:16" ht="12" customHeight="1">
      <c r="A40" s="25"/>
      <c r="B40" s="141">
        <f>'P2'!F42</f>
        <v>7286.8</v>
      </c>
      <c r="C40" s="141">
        <f>'P2'!G42</f>
        <v>12084.68</v>
      </c>
      <c r="D40" s="141">
        <v>0</v>
      </c>
      <c r="E40" s="141">
        <v>0</v>
      </c>
      <c r="F40" s="141">
        <v>393.95</v>
      </c>
      <c r="G40" s="141">
        <v>2339.15</v>
      </c>
      <c r="H40" s="141">
        <v>0</v>
      </c>
      <c r="I40" s="141">
        <v>0</v>
      </c>
      <c r="J40" s="141">
        <v>0</v>
      </c>
      <c r="K40" s="141">
        <v>0</v>
      </c>
      <c r="L40" s="141">
        <f>B40-J40-H40-F40-D40</f>
        <v>6892.85</v>
      </c>
      <c r="M40" s="141">
        <f>C40-E40-G40-I40-K40</f>
        <v>9745.53</v>
      </c>
      <c r="N40" s="89" t="s">
        <v>96</v>
      </c>
      <c r="O40" s="56"/>
      <c r="P40" s="57"/>
    </row>
    <row r="41" spans="1:16" s="49" customFormat="1" ht="15.75">
      <c r="A41" s="47"/>
      <c r="B41" s="143">
        <f>SUM(B38:B40)</f>
        <v>71307.192</v>
      </c>
      <c r="C41" s="143">
        <f>SUM(C38:C40)</f>
        <v>54076.493</v>
      </c>
      <c r="D41" s="143">
        <f aca="true" t="shared" si="7" ref="D41:L41">SUM(D38:D40)</f>
        <v>0</v>
      </c>
      <c r="E41" s="143">
        <f>SUM(E38:E40)</f>
        <v>0</v>
      </c>
      <c r="F41" s="143">
        <f t="shared" si="7"/>
        <v>7869.869</v>
      </c>
      <c r="G41" s="143">
        <f>SUM(G38:G40)</f>
        <v>7878.618</v>
      </c>
      <c r="H41" s="143">
        <f t="shared" si="7"/>
        <v>70.311</v>
      </c>
      <c r="I41" s="143">
        <f>SUM(I38:I40)</f>
        <v>0</v>
      </c>
      <c r="J41" s="143">
        <f t="shared" si="7"/>
        <v>10380.528</v>
      </c>
      <c r="K41" s="143">
        <f>SUM(K38:K40)</f>
        <v>6149.651</v>
      </c>
      <c r="L41" s="143">
        <f t="shared" si="7"/>
        <v>52986.48399999999</v>
      </c>
      <c r="M41" s="143">
        <f>SUM(M38:M40)</f>
        <v>40048.224</v>
      </c>
      <c r="N41" s="14" t="s">
        <v>97</v>
      </c>
      <c r="O41" s="58"/>
      <c r="P41" s="57"/>
    </row>
    <row r="42" spans="1:16" s="49" customFormat="1" ht="15.75">
      <c r="A42" s="47" t="s">
        <v>0</v>
      </c>
      <c r="B42" s="142">
        <f>B41+B37+B33+B28+B24+B19</f>
        <v>636154.0560000001</v>
      </c>
      <c r="C42" s="142">
        <f>C41+C37+C33+C28+C24+C19</f>
        <v>576920.959</v>
      </c>
      <c r="D42" s="142">
        <f aca="true" t="shared" si="8" ref="D42:M42">D41+D37+D33+D28+D24+D19</f>
        <v>83373.909</v>
      </c>
      <c r="E42" s="142">
        <f t="shared" si="8"/>
        <v>33829.783</v>
      </c>
      <c r="F42" s="142">
        <f t="shared" si="8"/>
        <v>75274.69799999999</v>
      </c>
      <c r="G42" s="142">
        <f t="shared" si="8"/>
        <v>61047.458999999995</v>
      </c>
      <c r="H42" s="142">
        <f t="shared" si="8"/>
        <v>37951.238</v>
      </c>
      <c r="I42" s="142">
        <f t="shared" si="8"/>
        <v>7177.210999999999</v>
      </c>
      <c r="J42" s="142">
        <f t="shared" si="8"/>
        <v>61857.562</v>
      </c>
      <c r="K42" s="142">
        <f t="shared" si="8"/>
        <v>26920.271999999997</v>
      </c>
      <c r="L42" s="142">
        <f t="shared" si="8"/>
        <v>377696.649</v>
      </c>
      <c r="M42" s="142">
        <f t="shared" si="8"/>
        <v>447946.234</v>
      </c>
      <c r="N42" s="48" t="s">
        <v>20</v>
      </c>
      <c r="O42" s="58"/>
      <c r="P42" s="57"/>
    </row>
    <row r="43" spans="1:16" s="52" customFormat="1" ht="15.75">
      <c r="A43" s="51" t="s">
        <v>0</v>
      </c>
      <c r="B43" s="144">
        <f>D43+F43+H43+J43+L43</f>
        <v>0.9999999999999998</v>
      </c>
      <c r="C43" s="144">
        <v>1</v>
      </c>
      <c r="D43" s="144">
        <f>D42/$B$42</f>
        <v>0.13105930586096898</v>
      </c>
      <c r="E43" s="144">
        <f>E42/$C$42</f>
        <v>0.058638505799197355</v>
      </c>
      <c r="F43" s="144">
        <f>F42/$B$42</f>
        <v>0.11832778128196038</v>
      </c>
      <c r="G43" s="144">
        <f>G42/$C$42</f>
        <v>0.10581598405753186</v>
      </c>
      <c r="H43" s="144">
        <f>H42/$B$42</f>
        <v>0.05965730728595715</v>
      </c>
      <c r="I43" s="144">
        <f>I42/$C$42</f>
        <v>0.012440544736735762</v>
      </c>
      <c r="J43" s="144">
        <f>J42/$B$42</f>
        <v>0.09723676429723178</v>
      </c>
      <c r="K43" s="144">
        <f>K42/$C$42</f>
        <v>0.04666197609922505</v>
      </c>
      <c r="L43" s="144">
        <f>L42/$B$42</f>
        <v>0.5937188412738815</v>
      </c>
      <c r="M43" s="144">
        <f>M42/$C$42</f>
        <v>0.7764429893073099</v>
      </c>
      <c r="N43" s="50" t="s">
        <v>1</v>
      </c>
      <c r="O43" s="58"/>
      <c r="P43" s="57"/>
    </row>
    <row r="44" spans="1:16" ht="4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 t="s">
        <v>0</v>
      </c>
      <c r="L44" s="26"/>
      <c r="M44" s="26"/>
      <c r="N44" s="26"/>
      <c r="O44" s="36"/>
      <c r="P44" s="26"/>
    </row>
    <row r="45" spans="1:16" ht="9" customHeight="1" hidden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36"/>
      <c r="P45" s="26"/>
    </row>
    <row r="46" spans="1:16" ht="9" customHeight="1" hidden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26"/>
    </row>
    <row r="47" spans="6:10" ht="13.5" customHeight="1">
      <c r="F47" s="26"/>
      <c r="G47" s="26"/>
      <c r="H47" s="26"/>
      <c r="I47" s="26"/>
      <c r="J47" s="26"/>
    </row>
    <row r="51" spans="7:10" ht="13.5" customHeight="1">
      <c r="G51" s="254"/>
      <c r="J51" s="254"/>
    </row>
  </sheetData>
  <sheetProtection/>
  <mergeCells count="16">
    <mergeCell ref="A2:C2"/>
    <mergeCell ref="A3:C3"/>
    <mergeCell ref="J9:K10"/>
    <mergeCell ref="L2:N2"/>
    <mergeCell ref="L3:N3"/>
    <mergeCell ref="H9:I10"/>
    <mergeCell ref="F9:G10"/>
    <mergeCell ref="B9:C10"/>
    <mergeCell ref="B5:N5"/>
    <mergeCell ref="B6:N6"/>
    <mergeCell ref="B7:N7"/>
    <mergeCell ref="N9:N11"/>
    <mergeCell ref="B8:C8"/>
    <mergeCell ref="D9:E10"/>
    <mergeCell ref="M8:N8"/>
    <mergeCell ref="L9:M10"/>
  </mergeCells>
  <printOptions/>
  <pageMargins left="0.35433070866141736" right="0" top="0" bottom="0" header="0.27" footer="0.3937007874015748"/>
  <pageSetup fitToHeight="1" fitToWidth="1" horizontalDpi="600" verticalDpi="600" orientation="landscape" paperSize="9" scale="94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view="pageBreakPreview" zoomScaleSheetLayoutView="100" zoomScalePageLayoutView="0" workbookViewId="0" topLeftCell="A10">
      <selection activeCell="E20" sqref="E20"/>
    </sheetView>
  </sheetViews>
  <sheetFormatPr defaultColWidth="12.7109375" defaultRowHeight="12.75"/>
  <cols>
    <col min="1" max="1" width="9.140625" style="24" customWidth="1"/>
    <col min="2" max="2" width="11.7109375" style="26" customWidth="1"/>
    <col min="3" max="4" width="11.7109375" style="24" bestFit="1" customWidth="1"/>
    <col min="5" max="5" width="12.7109375" style="24" customWidth="1"/>
    <col min="6" max="6" width="11.7109375" style="24" bestFit="1" customWidth="1"/>
    <col min="7" max="7" width="14.57421875" style="24" bestFit="1" customWidth="1"/>
    <col min="8" max="8" width="21.421875" style="24" bestFit="1" customWidth="1"/>
    <col min="9" max="9" width="10.7109375" style="24" customWidth="1"/>
    <col min="10" max="10" width="12.7109375" style="26" customWidth="1"/>
    <col min="11" max="16384" width="12.7109375" style="24" customWidth="1"/>
  </cols>
  <sheetData>
    <row r="1" spans="2:9" ht="12.75">
      <c r="B1" s="23"/>
      <c r="C1" s="23"/>
      <c r="D1" s="23"/>
      <c r="E1" s="23"/>
      <c r="F1" s="23"/>
      <c r="G1" s="23"/>
      <c r="H1" s="23"/>
      <c r="I1" s="23"/>
    </row>
    <row r="2" spans="3:9" ht="15.75">
      <c r="C2" s="32" t="s">
        <v>24</v>
      </c>
      <c r="D2" s="32"/>
      <c r="E2" s="32"/>
      <c r="F2" s="26"/>
      <c r="G2" s="26"/>
      <c r="H2" s="244" t="s">
        <v>16</v>
      </c>
      <c r="I2" s="32"/>
    </row>
    <row r="3" spans="2:9" ht="15.75">
      <c r="B3" s="24"/>
      <c r="C3" s="32" t="s">
        <v>21</v>
      </c>
      <c r="D3" s="32"/>
      <c r="E3" s="32"/>
      <c r="F3" s="272" t="s">
        <v>130</v>
      </c>
      <c r="G3" s="272"/>
      <c r="H3" s="272"/>
      <c r="I3" s="32"/>
    </row>
    <row r="4" spans="2:9" ht="15.75">
      <c r="B4" s="32"/>
      <c r="C4" s="32"/>
      <c r="D4" s="32"/>
      <c r="E4" s="32"/>
      <c r="F4" s="27"/>
      <c r="G4" s="27"/>
      <c r="H4" s="32"/>
      <c r="I4" s="32"/>
    </row>
    <row r="5" spans="2:9" ht="15.75">
      <c r="B5" s="32"/>
      <c r="C5" s="32"/>
      <c r="D5" s="32"/>
      <c r="E5" s="32"/>
      <c r="F5" s="27"/>
      <c r="G5" s="27"/>
      <c r="H5" s="32"/>
      <c r="I5" s="32"/>
    </row>
    <row r="6" spans="3:9" ht="12.75">
      <c r="C6" s="26"/>
      <c r="D6" s="27"/>
      <c r="E6" s="26"/>
      <c r="F6" s="278"/>
      <c r="G6" s="278"/>
      <c r="H6" s="27"/>
      <c r="I6" s="27"/>
    </row>
    <row r="7" spans="3:20" ht="22.5">
      <c r="C7" s="282" t="s">
        <v>106</v>
      </c>
      <c r="D7" s="282"/>
      <c r="E7" s="282"/>
      <c r="F7" s="282"/>
      <c r="G7" s="282"/>
      <c r="H7" s="282"/>
      <c r="I7" s="105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2:9" ht="23.25">
      <c r="B8" s="159"/>
      <c r="C8" s="266" t="s">
        <v>137</v>
      </c>
      <c r="D8" s="266"/>
      <c r="E8" s="266"/>
      <c r="F8" s="266"/>
      <c r="G8" s="266"/>
      <c r="H8" s="266"/>
      <c r="I8" s="104"/>
    </row>
    <row r="9" spans="2:9" ht="23.25">
      <c r="B9" s="159"/>
      <c r="C9" s="104"/>
      <c r="D9" s="104"/>
      <c r="E9" s="104"/>
      <c r="F9" s="104" t="s">
        <v>141</v>
      </c>
      <c r="G9" s="104"/>
      <c r="H9" s="104"/>
      <c r="I9" s="104"/>
    </row>
    <row r="10" spans="3:9" ht="12.75">
      <c r="C10" s="26"/>
      <c r="D10" s="26"/>
      <c r="E10" s="26"/>
      <c r="F10" s="26"/>
      <c r="G10" s="26"/>
      <c r="H10" s="26"/>
      <c r="I10" s="26"/>
    </row>
    <row r="11" spans="3:9" ht="12.75">
      <c r="C11" s="277" t="s">
        <v>143</v>
      </c>
      <c r="D11" s="277"/>
      <c r="E11" s="26"/>
      <c r="F11" s="26"/>
      <c r="G11" s="87"/>
      <c r="H11" s="240" t="s">
        <v>67</v>
      </c>
      <c r="I11" s="71"/>
    </row>
    <row r="12" spans="3:9" ht="15.75" customHeight="1">
      <c r="C12" s="333" t="s">
        <v>122</v>
      </c>
      <c r="D12" s="329">
        <v>2022</v>
      </c>
      <c r="E12" s="330"/>
      <c r="F12" s="327">
        <v>2021</v>
      </c>
      <c r="G12" s="328"/>
      <c r="H12" s="331" t="s">
        <v>55</v>
      </c>
      <c r="I12" s="218"/>
    </row>
    <row r="13" spans="3:9" ht="15.75" customHeight="1">
      <c r="C13" s="332"/>
      <c r="D13" s="152" t="s">
        <v>1</v>
      </c>
      <c r="E13" s="147" t="s">
        <v>25</v>
      </c>
      <c r="F13" s="152" t="s">
        <v>1</v>
      </c>
      <c r="G13" s="147" t="s">
        <v>25</v>
      </c>
      <c r="H13" s="332"/>
      <c r="I13" s="218"/>
    </row>
    <row r="14" spans="3:9" ht="18.75">
      <c r="C14" s="215">
        <f>(E14-G14)/G14</f>
        <v>0.4682340218001557</v>
      </c>
      <c r="D14" s="209">
        <f>E14/$E$22</f>
        <v>0.10258708308856557</v>
      </c>
      <c r="E14" s="148">
        <v>65261.189</v>
      </c>
      <c r="F14" s="209">
        <f aca="true" t="shared" si="0" ref="F14:F21">G14/$G$22</f>
        <v>0.07704480883662955</v>
      </c>
      <c r="G14" s="148">
        <v>44448.765</v>
      </c>
      <c r="H14" s="248" t="s">
        <v>108</v>
      </c>
      <c r="I14" s="62"/>
    </row>
    <row r="15" spans="3:9" ht="18.75">
      <c r="C15" s="207">
        <f aca="true" t="shared" si="1" ref="C15:C22">(E15-G15)/G15</f>
        <v>-0.02199394241771994</v>
      </c>
      <c r="D15" s="209">
        <f aca="true" t="shared" si="2" ref="D15:D21">E15/$E$22</f>
        <v>0.09202844727284107</v>
      </c>
      <c r="E15" s="149">
        <v>58544.27</v>
      </c>
      <c r="F15" s="209">
        <f t="shared" si="0"/>
        <v>0.10375918064020273</v>
      </c>
      <c r="G15" s="149">
        <v>59860.846</v>
      </c>
      <c r="H15" s="108" t="s">
        <v>109</v>
      </c>
      <c r="I15" s="62"/>
    </row>
    <row r="16" spans="3:9" ht="18.75">
      <c r="C16" s="207">
        <f t="shared" si="1"/>
        <v>0.13407976787896156</v>
      </c>
      <c r="D16" s="209">
        <f t="shared" si="2"/>
        <v>0.6123189034575611</v>
      </c>
      <c r="E16" s="149">
        <v>389529.154</v>
      </c>
      <c r="F16" s="209">
        <f t="shared" si="0"/>
        <v>0.595360542274908</v>
      </c>
      <c r="G16" s="149">
        <v>343475.975</v>
      </c>
      <c r="H16" s="108" t="s">
        <v>26</v>
      </c>
      <c r="I16" s="62"/>
    </row>
    <row r="17" spans="3:9" ht="18.75">
      <c r="C17" s="207">
        <f t="shared" si="1"/>
        <v>0.0966326219280536</v>
      </c>
      <c r="D17" s="209">
        <f t="shared" si="2"/>
        <v>0.07373266673002238</v>
      </c>
      <c r="E17" s="149">
        <v>46905.335</v>
      </c>
      <c r="F17" s="209">
        <f t="shared" si="0"/>
        <v>0.07413866550131697</v>
      </c>
      <c r="G17" s="149">
        <v>42772.15</v>
      </c>
      <c r="H17" s="108" t="s">
        <v>124</v>
      </c>
      <c r="I17" s="62"/>
    </row>
    <row r="18" spans="3:9" ht="18.75">
      <c r="C18" s="207">
        <f t="shared" si="1"/>
        <v>-0.09796722368055773</v>
      </c>
      <c r="D18" s="209">
        <f t="shared" si="2"/>
        <v>0.024675482065935294</v>
      </c>
      <c r="E18" s="149">
        <v>15697.408</v>
      </c>
      <c r="F18" s="209">
        <f t="shared" si="0"/>
        <v>0.030164026334151602</v>
      </c>
      <c r="G18" s="149">
        <v>17402.259</v>
      </c>
      <c r="H18" s="108" t="s">
        <v>27</v>
      </c>
      <c r="I18" s="62"/>
    </row>
    <row r="19" spans="3:9" ht="18.75">
      <c r="C19" s="207">
        <f t="shared" si="1"/>
        <v>-0.3113926365173376</v>
      </c>
      <c r="D19" s="209">
        <f t="shared" si="2"/>
        <v>0.03398047029035997</v>
      </c>
      <c r="E19" s="149">
        <v>21616.814</v>
      </c>
      <c r="F19" s="209">
        <f t="shared" si="0"/>
        <v>0.054413129754226866</v>
      </c>
      <c r="G19" s="149">
        <v>31392.075</v>
      </c>
      <c r="H19" s="108" t="s">
        <v>28</v>
      </c>
      <c r="I19" s="62"/>
    </row>
    <row r="20" spans="3:9" ht="18.75">
      <c r="C20" s="207">
        <f t="shared" si="1"/>
        <v>0.13772884656331338</v>
      </c>
      <c r="D20" s="209">
        <f t="shared" si="2"/>
        <v>0.0320779704342561</v>
      </c>
      <c r="E20" s="149">
        <f>E22-E14-E15-E16-E17-E18-E19-E21</f>
        <v>20406.5310000001</v>
      </c>
      <c r="F20" s="209">
        <f t="shared" si="0"/>
        <v>0.031089525731721666</v>
      </c>
      <c r="G20" s="149">
        <f>G22-G14-G15-G16-G17-G18-G19-G21</f>
        <v>17936.19900000004</v>
      </c>
      <c r="H20" s="108" t="s">
        <v>29</v>
      </c>
      <c r="I20" s="62"/>
    </row>
    <row r="21" spans="3:9" ht="18.75">
      <c r="C21" s="216">
        <f t="shared" si="1"/>
        <v>-0.07331318326729548</v>
      </c>
      <c r="D21" s="209">
        <f t="shared" si="2"/>
        <v>0.02859897666045848</v>
      </c>
      <c r="E21" s="150">
        <v>18193.355</v>
      </c>
      <c r="F21" s="209">
        <f t="shared" si="0"/>
        <v>0.03403012092684259</v>
      </c>
      <c r="G21" s="150">
        <v>19632.69</v>
      </c>
      <c r="H21" s="109" t="s">
        <v>30</v>
      </c>
      <c r="I21" s="62"/>
    </row>
    <row r="22" spans="3:9" ht="18.75">
      <c r="C22" s="210">
        <f t="shared" si="1"/>
        <v>0.10267107837904024</v>
      </c>
      <c r="D22" s="208">
        <f>SUM(D14:D21)</f>
        <v>1</v>
      </c>
      <c r="E22" s="151">
        <f>'P2'!F44</f>
        <v>636154.0560000001</v>
      </c>
      <c r="F22" s="208">
        <f>SUM(F14:F21)</f>
        <v>0.9999999999999999</v>
      </c>
      <c r="G22" s="151">
        <f>'P2'!G44</f>
        <v>576920.959</v>
      </c>
      <c r="H22" s="145" t="s">
        <v>22</v>
      </c>
      <c r="I22" s="218"/>
    </row>
    <row r="23" spans="3:9" ht="12.75">
      <c r="C23" s="26"/>
      <c r="D23" s="26"/>
      <c r="E23" s="26"/>
      <c r="F23" s="26"/>
      <c r="G23" s="26"/>
      <c r="H23" s="26"/>
      <c r="I23" s="26"/>
    </row>
    <row r="24" spans="3:9" ht="12.75">
      <c r="C24" s="26"/>
      <c r="D24" s="26"/>
      <c r="E24" s="26"/>
      <c r="F24" s="26"/>
      <c r="G24" s="26"/>
      <c r="H24" s="26"/>
      <c r="I24" s="26"/>
    </row>
    <row r="25" spans="3:9" ht="12.75">
      <c r="C25" s="26"/>
      <c r="D25" s="26"/>
      <c r="E25" s="26"/>
      <c r="F25" s="26"/>
      <c r="G25" s="26"/>
      <c r="H25" s="26"/>
      <c r="I25" s="26"/>
    </row>
    <row r="26" spans="3:9" ht="12.75">
      <c r="C26" s="26"/>
      <c r="D26" s="26"/>
      <c r="E26" s="26"/>
      <c r="F26" s="26"/>
      <c r="G26" s="26"/>
      <c r="H26" s="26"/>
      <c r="I26" s="26"/>
    </row>
    <row r="27" spans="3:21" ht="22.5">
      <c r="C27" s="282" t="s">
        <v>106</v>
      </c>
      <c r="D27" s="282"/>
      <c r="E27" s="282"/>
      <c r="F27" s="282"/>
      <c r="G27" s="282"/>
      <c r="H27" s="282"/>
      <c r="I27" s="10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3:9" ht="22.5">
      <c r="C28" s="266" t="s">
        <v>142</v>
      </c>
      <c r="D28" s="266"/>
      <c r="E28" s="266"/>
      <c r="F28" s="266"/>
      <c r="G28" s="266"/>
      <c r="H28" s="266"/>
      <c r="I28" s="104"/>
    </row>
    <row r="29" spans="3:9" ht="22.5">
      <c r="C29" s="104"/>
      <c r="D29" s="104"/>
      <c r="E29" s="104"/>
      <c r="F29" s="104"/>
      <c r="G29" s="104"/>
      <c r="H29" s="104"/>
      <c r="I29" s="104"/>
    </row>
    <row r="30" spans="3:9" ht="22.5">
      <c r="C30" s="266"/>
      <c r="D30" s="266"/>
      <c r="E30" s="266"/>
      <c r="F30" s="266"/>
      <c r="G30" s="266"/>
      <c r="H30" s="266"/>
      <c r="I30" s="104"/>
    </row>
    <row r="31" spans="2:9" ht="12.75">
      <c r="B31" s="277" t="s">
        <v>143</v>
      </c>
      <c r="C31" s="277"/>
      <c r="D31" s="87"/>
      <c r="E31" s="26"/>
      <c r="F31" s="26"/>
      <c r="G31" s="87"/>
      <c r="H31" s="87" t="s">
        <v>67</v>
      </c>
      <c r="I31" s="27"/>
    </row>
    <row r="32" spans="2:9" ht="18.75">
      <c r="B32" s="313" t="s">
        <v>136</v>
      </c>
      <c r="C32" s="314"/>
      <c r="D32" s="329">
        <v>2022</v>
      </c>
      <c r="E32" s="330"/>
      <c r="F32" s="327">
        <v>2021</v>
      </c>
      <c r="G32" s="328"/>
      <c r="H32" s="331" t="s">
        <v>55</v>
      </c>
      <c r="I32" s="31"/>
    </row>
    <row r="33" spans="2:9" ht="18.75">
      <c r="B33" s="315" t="s">
        <v>145</v>
      </c>
      <c r="C33" s="316"/>
      <c r="D33" s="152" t="s">
        <v>1</v>
      </c>
      <c r="E33" s="145" t="s">
        <v>25</v>
      </c>
      <c r="F33" s="147" t="s">
        <v>1</v>
      </c>
      <c r="G33" s="145" t="s">
        <v>25</v>
      </c>
      <c r="H33" s="332"/>
      <c r="I33" s="31"/>
    </row>
    <row r="34" spans="2:9" ht="18.75">
      <c r="B34" s="317">
        <f>(D34-F34)/F34</f>
        <v>0.00980294141347541</v>
      </c>
      <c r="C34" s="318"/>
      <c r="D34" s="212">
        <f>E34/E38</f>
        <v>0.5305032646054528</v>
      </c>
      <c r="E34" s="155">
        <f>E38-E37-E36-E35</f>
        <v>337481.8035000001</v>
      </c>
      <c r="F34" s="212">
        <f>G34/G38</f>
        <v>0.5253532574017649</v>
      </c>
      <c r="G34" s="155">
        <f>G38-G37-G36-G35</f>
        <v>303087.30507400003</v>
      </c>
      <c r="H34" s="102" t="s">
        <v>31</v>
      </c>
      <c r="I34" s="62"/>
    </row>
    <row r="35" spans="2:9" ht="18.75">
      <c r="B35" s="319">
        <f>(D35-F35)/F35</f>
        <v>-0.07197302671247066</v>
      </c>
      <c r="C35" s="320"/>
      <c r="D35" s="211">
        <f>E35/E38</f>
        <v>0.26136629159525465</v>
      </c>
      <c r="E35" s="156">
        <f>'P5'!E43</f>
        <v>166269.2265</v>
      </c>
      <c r="F35" s="211">
        <f>G35/G38</f>
        <v>0.2816365247115246</v>
      </c>
      <c r="G35" s="156">
        <f>'P5'!H43</f>
        <v>162482.01392599999</v>
      </c>
      <c r="H35" s="153" t="s">
        <v>32</v>
      </c>
      <c r="I35" s="62"/>
    </row>
    <row r="36" spans="2:9" ht="18.75">
      <c r="B36" s="319"/>
      <c r="C36" s="320"/>
      <c r="D36" s="211">
        <f>E36/E38</f>
        <v>0</v>
      </c>
      <c r="E36" s="156">
        <v>0</v>
      </c>
      <c r="F36" s="211">
        <f>G36/G38</f>
        <v>0</v>
      </c>
      <c r="G36" s="156">
        <v>0</v>
      </c>
      <c r="H36" s="153" t="s">
        <v>33</v>
      </c>
      <c r="I36" s="62"/>
    </row>
    <row r="37" spans="2:9" ht="18.75">
      <c r="B37" s="321">
        <f>(D37-F37)/F37</f>
        <v>0.0783389919877557</v>
      </c>
      <c r="C37" s="322"/>
      <c r="D37" s="213">
        <f>E37/E38</f>
        <v>0.20813044379929252</v>
      </c>
      <c r="E37" s="156">
        <v>132403.026</v>
      </c>
      <c r="F37" s="213">
        <f>G37/G38</f>
        <v>0.19301021788671052</v>
      </c>
      <c r="G37" s="156">
        <v>111351.64</v>
      </c>
      <c r="H37" s="154" t="s">
        <v>34</v>
      </c>
      <c r="I37" s="62"/>
    </row>
    <row r="38" spans="2:9" ht="18.75">
      <c r="B38" s="323"/>
      <c r="C38" s="324"/>
      <c r="D38" s="214">
        <f>SUM(D34:D37)</f>
        <v>1</v>
      </c>
      <c r="E38" s="157">
        <f>E22</f>
        <v>636154.0560000001</v>
      </c>
      <c r="F38" s="214">
        <f>SUM(F34:F37)</f>
        <v>1</v>
      </c>
      <c r="G38" s="158">
        <f>G22</f>
        <v>576920.959</v>
      </c>
      <c r="H38" s="152" t="s">
        <v>22</v>
      </c>
      <c r="I38" s="31"/>
    </row>
    <row r="39" spans="3:9" ht="18.75">
      <c r="C39" s="219"/>
      <c r="D39" s="220"/>
      <c r="E39" s="221"/>
      <c r="F39" s="220"/>
      <c r="G39" s="222"/>
      <c r="H39" s="31"/>
      <c r="I39" s="31"/>
    </row>
    <row r="40" spans="2:9" ht="12.75">
      <c r="B40" s="325"/>
      <c r="C40" s="325"/>
      <c r="D40" s="26"/>
      <c r="E40" s="26"/>
      <c r="F40" s="26"/>
      <c r="G40" s="26"/>
      <c r="H40" s="27"/>
      <c r="I40" s="26"/>
    </row>
    <row r="41" spans="2:8" ht="18.75">
      <c r="B41" s="271"/>
      <c r="C41" s="271"/>
      <c r="D41" s="326"/>
      <c r="E41" s="326"/>
      <c r="F41" s="326"/>
      <c r="G41" s="326"/>
      <c r="H41" s="31"/>
    </row>
    <row r="42" spans="2:8" ht="18.75">
      <c r="B42" s="31"/>
      <c r="C42" s="31"/>
      <c r="D42" s="31"/>
      <c r="E42" s="31"/>
      <c r="F42" s="31"/>
      <c r="G42" s="31"/>
      <c r="H42" s="31"/>
    </row>
    <row r="43" spans="2:8" ht="18.75">
      <c r="B43" s="246"/>
      <c r="C43" s="246"/>
      <c r="D43" s="255"/>
      <c r="E43" s="217"/>
      <c r="F43" s="246"/>
      <c r="G43" s="217"/>
      <c r="H43" s="62"/>
    </row>
    <row r="44" spans="2:8" ht="18.75">
      <c r="B44" s="246"/>
      <c r="C44" s="246"/>
      <c r="D44" s="246"/>
      <c r="E44" s="217"/>
      <c r="F44" s="246"/>
      <c r="G44" s="217"/>
      <c r="H44" s="62"/>
    </row>
    <row r="45" spans="2:8" ht="18.75">
      <c r="B45" s="246"/>
      <c r="C45" s="246"/>
      <c r="D45" s="246"/>
      <c r="E45" s="217"/>
      <c r="F45" s="246"/>
      <c r="G45" s="217"/>
      <c r="H45" s="62"/>
    </row>
    <row r="46" spans="2:8" ht="16.5" customHeight="1">
      <c r="B46" s="246"/>
      <c r="C46" s="246"/>
      <c r="D46" s="246"/>
      <c r="E46" s="217"/>
      <c r="F46" s="246"/>
      <c r="G46" s="217"/>
      <c r="H46" s="62"/>
    </row>
    <row r="47" spans="3:9" ht="18.75" hidden="1">
      <c r="C47" s="219"/>
      <c r="D47" s="220"/>
      <c r="E47" s="221"/>
      <c r="F47" s="220"/>
      <c r="G47" s="222"/>
      <c r="H47" s="31"/>
      <c r="I47" s="31"/>
    </row>
    <row r="48" spans="3:8" ht="12.75" hidden="1">
      <c r="C48" s="26"/>
      <c r="D48" s="26"/>
      <c r="E48" s="26"/>
      <c r="F48" s="26"/>
      <c r="G48" s="26"/>
      <c r="H48" s="26"/>
    </row>
    <row r="49" spans="3:8" ht="18.75">
      <c r="C49" s="26"/>
      <c r="D49" s="219"/>
      <c r="E49" s="247"/>
      <c r="F49" s="219"/>
      <c r="G49" s="247"/>
      <c r="H49" s="31"/>
    </row>
  </sheetData>
  <sheetProtection/>
  <mergeCells count="27">
    <mergeCell ref="C12:C13"/>
    <mergeCell ref="C11:D11"/>
    <mergeCell ref="H32:H33"/>
    <mergeCell ref="C28:H28"/>
    <mergeCell ref="C30:H30"/>
    <mergeCell ref="D32:E32"/>
    <mergeCell ref="F32:G32"/>
    <mergeCell ref="B31:C31"/>
    <mergeCell ref="F41:G41"/>
    <mergeCell ref="D41:E41"/>
    <mergeCell ref="F12:G12"/>
    <mergeCell ref="F3:H3"/>
    <mergeCell ref="F6:G6"/>
    <mergeCell ref="C7:H7"/>
    <mergeCell ref="C27:H27"/>
    <mergeCell ref="D12:E12"/>
    <mergeCell ref="C8:H8"/>
    <mergeCell ref="H12:H13"/>
    <mergeCell ref="B41:C41"/>
    <mergeCell ref="B32:C32"/>
    <mergeCell ref="B33:C33"/>
    <mergeCell ref="B34:C34"/>
    <mergeCell ref="B35:C35"/>
    <mergeCell ref="B36:C36"/>
    <mergeCell ref="B37:C37"/>
    <mergeCell ref="B38:C38"/>
    <mergeCell ref="B40:C40"/>
  </mergeCells>
  <printOptions horizontalCentered="1" verticalCentered="1"/>
  <pageMargins left="0.1968503937007874" right="0.1968503937007874" top="0" bottom="0" header="0.35433070866141736" footer="0.5905511811023623"/>
  <pageSetup fitToHeight="1" fitToWidth="1" horizontalDpi="600" verticalDpi="600" orientation="portrait" paperSize="9" scale="87" r:id="rId2"/>
  <headerFooter alignWithMargins="0">
    <oddFooter>&amp;C 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SheetLayoutView="100" zoomScalePageLayoutView="0" workbookViewId="0" topLeftCell="B19">
      <selection activeCell="E17" sqref="E17"/>
    </sheetView>
  </sheetViews>
  <sheetFormatPr defaultColWidth="9.00390625" defaultRowHeight="18" customHeight="1"/>
  <cols>
    <col min="1" max="1" width="5.8515625" style="9" customWidth="1"/>
    <col min="2" max="2" width="13.421875" style="9" bestFit="1" customWidth="1"/>
    <col min="3" max="3" width="12.140625" style="9" bestFit="1" customWidth="1"/>
    <col min="4" max="4" width="11.7109375" style="9" bestFit="1" customWidth="1"/>
    <col min="5" max="5" width="12.421875" style="9" bestFit="1" customWidth="1"/>
    <col min="6" max="6" width="12.00390625" style="9" bestFit="1" customWidth="1"/>
    <col min="7" max="7" width="11.421875" style="9" customWidth="1"/>
    <col min="8" max="8" width="12.421875" style="9" bestFit="1" customWidth="1"/>
    <col min="9" max="9" width="12.00390625" style="9" bestFit="1" customWidth="1"/>
    <col min="10" max="10" width="15.7109375" style="9" bestFit="1" customWidth="1"/>
    <col min="11" max="11" width="3.8515625" style="9" customWidth="1"/>
    <col min="12" max="12" width="11.00390625" style="9" customWidth="1"/>
    <col min="13" max="13" width="10.57421875" style="9" customWidth="1"/>
    <col min="14" max="14" width="9.00390625" style="9" customWidth="1"/>
    <col min="15" max="15" width="9.28125" style="9" customWidth="1"/>
    <col min="16" max="16" width="9.00390625" style="22" customWidth="1"/>
    <col min="17" max="17" width="4.7109375" style="9" customWidth="1"/>
    <col min="18" max="16384" width="9.00390625" style="9" customWidth="1"/>
  </cols>
  <sheetData>
    <row r="1" spans="3:16" ht="18" customHeight="1">
      <c r="C1" s="3"/>
      <c r="D1" s="3"/>
      <c r="E1" s="3"/>
      <c r="F1" s="3"/>
      <c r="G1" s="3"/>
      <c r="H1" s="3"/>
      <c r="I1" s="3"/>
      <c r="J1" s="3"/>
      <c r="K1" s="3"/>
      <c r="L1" s="3"/>
      <c r="P1" s="9"/>
    </row>
    <row r="2" spans="1:17" ht="18" customHeight="1">
      <c r="A2" s="343" t="s">
        <v>24</v>
      </c>
      <c r="B2" s="343"/>
      <c r="C2" s="343"/>
      <c r="D2" s="3"/>
      <c r="E2" s="3"/>
      <c r="F2" s="3"/>
      <c r="G2" s="11"/>
      <c r="H2" s="11"/>
      <c r="I2" s="344" t="s">
        <v>16</v>
      </c>
      <c r="J2" s="344"/>
      <c r="K2" s="3"/>
      <c r="L2" s="3"/>
      <c r="N2" s="11"/>
      <c r="O2" s="11"/>
      <c r="P2" s="11"/>
      <c r="Q2" s="11"/>
    </row>
    <row r="3" spans="1:17" ht="18" customHeight="1">
      <c r="A3" s="343" t="s">
        <v>21</v>
      </c>
      <c r="B3" s="343"/>
      <c r="C3" s="343"/>
      <c r="D3" s="3"/>
      <c r="E3" s="3"/>
      <c r="F3" s="3"/>
      <c r="G3" s="11"/>
      <c r="H3" s="344" t="s">
        <v>131</v>
      </c>
      <c r="I3" s="344"/>
      <c r="J3" s="344"/>
      <c r="K3" s="3"/>
      <c r="L3" s="3"/>
      <c r="N3" s="11"/>
      <c r="O3" s="11"/>
      <c r="P3" s="11"/>
      <c r="Q3" s="11"/>
    </row>
    <row r="4" spans="3:17" ht="18" customHeight="1">
      <c r="C4" s="11"/>
      <c r="D4" s="3"/>
      <c r="E4" s="3"/>
      <c r="F4" s="3"/>
      <c r="G4" s="11"/>
      <c r="H4" s="11"/>
      <c r="I4" s="11"/>
      <c r="J4" s="11"/>
      <c r="K4" s="3"/>
      <c r="L4" s="3"/>
      <c r="N4" s="11"/>
      <c r="O4" s="11"/>
      <c r="P4" s="11"/>
      <c r="Q4" s="11"/>
    </row>
    <row r="5" spans="1:17" ht="18" customHeight="1">
      <c r="A5" s="12"/>
      <c r="B5" s="3"/>
      <c r="C5" s="337"/>
      <c r="D5" s="337"/>
      <c r="E5" s="337"/>
      <c r="F5" s="337"/>
      <c r="G5" s="337"/>
      <c r="H5" s="337"/>
      <c r="I5" s="337"/>
      <c r="J5" s="1"/>
      <c r="K5" s="65"/>
      <c r="L5" s="65"/>
      <c r="M5" s="65"/>
      <c r="N5" s="65"/>
      <c r="O5" s="65"/>
      <c r="P5" s="65"/>
      <c r="Q5" s="3"/>
    </row>
    <row r="6" spans="1:17" ht="22.5">
      <c r="A6" s="12"/>
      <c r="B6" s="282" t="s">
        <v>44</v>
      </c>
      <c r="C6" s="282"/>
      <c r="D6" s="282"/>
      <c r="E6" s="282"/>
      <c r="F6" s="282"/>
      <c r="G6" s="282"/>
      <c r="H6" s="282"/>
      <c r="I6" s="282"/>
      <c r="J6" s="282"/>
      <c r="K6" s="65"/>
      <c r="L6" s="65"/>
      <c r="M6" s="65"/>
      <c r="N6" s="65"/>
      <c r="O6" s="65"/>
      <c r="P6" s="65"/>
      <c r="Q6" s="3"/>
    </row>
    <row r="7" spans="1:17" ht="22.5">
      <c r="A7" s="13"/>
      <c r="B7" s="266" t="s">
        <v>61</v>
      </c>
      <c r="C7" s="266"/>
      <c r="D7" s="266"/>
      <c r="E7" s="266"/>
      <c r="F7" s="266"/>
      <c r="G7" s="266"/>
      <c r="H7" s="266"/>
      <c r="I7" s="266"/>
      <c r="J7" s="266"/>
      <c r="K7" s="65"/>
      <c r="L7" s="65"/>
      <c r="M7" s="65"/>
      <c r="N7" s="65"/>
      <c r="O7" s="65"/>
      <c r="P7" s="65"/>
      <c r="Q7" s="3"/>
    </row>
    <row r="8" spans="1:17" ht="22.5">
      <c r="A8" s="13"/>
      <c r="B8" s="266" t="s">
        <v>141</v>
      </c>
      <c r="C8" s="266"/>
      <c r="D8" s="266"/>
      <c r="E8" s="266"/>
      <c r="F8" s="266"/>
      <c r="G8" s="266"/>
      <c r="H8" s="266"/>
      <c r="I8" s="266"/>
      <c r="J8" s="266"/>
      <c r="K8" s="65"/>
      <c r="L8" s="65"/>
      <c r="M8" s="65"/>
      <c r="N8" s="65"/>
      <c r="O8" s="65"/>
      <c r="P8" s="65"/>
      <c r="Q8" s="3"/>
    </row>
    <row r="9" spans="3:17" ht="18" customHeight="1">
      <c r="C9" s="337"/>
      <c r="D9" s="337"/>
      <c r="E9" s="337"/>
      <c r="F9" s="337"/>
      <c r="G9" s="337"/>
      <c r="H9" s="337"/>
      <c r="I9" s="337"/>
      <c r="J9" s="1"/>
      <c r="K9" s="65"/>
      <c r="L9" s="65"/>
      <c r="M9" s="65"/>
      <c r="N9" s="65"/>
      <c r="O9" s="65"/>
      <c r="P9" s="65"/>
      <c r="Q9" s="3"/>
    </row>
    <row r="10" spans="1:18" ht="18" customHeight="1">
      <c r="A10" s="12"/>
      <c r="B10" s="277" t="s">
        <v>143</v>
      </c>
      <c r="C10" s="277"/>
      <c r="D10" s="3"/>
      <c r="E10" s="3"/>
      <c r="F10" s="3"/>
      <c r="G10" s="3"/>
      <c r="H10" s="3"/>
      <c r="I10" s="3"/>
      <c r="J10" s="240" t="s">
        <v>67</v>
      </c>
      <c r="K10" s="3"/>
      <c r="L10" s="3"/>
      <c r="M10" s="3"/>
      <c r="N10" s="3"/>
      <c r="O10" s="336"/>
      <c r="P10" s="336"/>
      <c r="Q10" s="3"/>
      <c r="R10" s="3"/>
    </row>
    <row r="11" spans="1:16" ht="19.5" customHeight="1">
      <c r="A11" s="12"/>
      <c r="B11" s="334" t="s">
        <v>53</v>
      </c>
      <c r="C11" s="335"/>
      <c r="D11" s="340">
        <v>2022</v>
      </c>
      <c r="E11" s="341"/>
      <c r="F11" s="342"/>
      <c r="G11" s="340">
        <v>2021</v>
      </c>
      <c r="H11" s="341"/>
      <c r="I11" s="342"/>
      <c r="J11" s="338" t="s">
        <v>19</v>
      </c>
      <c r="K11" s="3"/>
      <c r="P11" s="9"/>
    </row>
    <row r="12" spans="1:16" ht="19.5" customHeight="1">
      <c r="A12" s="12"/>
      <c r="B12" s="161" t="s">
        <v>36</v>
      </c>
      <c r="C12" s="162" t="s">
        <v>37</v>
      </c>
      <c r="D12" s="161" t="s">
        <v>52</v>
      </c>
      <c r="E12" s="161" t="s">
        <v>36</v>
      </c>
      <c r="F12" s="161" t="s">
        <v>37</v>
      </c>
      <c r="G12" s="161" t="s">
        <v>52</v>
      </c>
      <c r="H12" s="161" t="s">
        <v>36</v>
      </c>
      <c r="I12" s="161" t="s">
        <v>37</v>
      </c>
      <c r="J12" s="339"/>
      <c r="K12" s="3"/>
      <c r="P12" s="9"/>
    </row>
    <row r="13" spans="1:16" ht="19.5" customHeight="1">
      <c r="A13" s="12"/>
      <c r="B13" s="236">
        <f>(E13-H13)/H13</f>
        <v>1.0744421663301666</v>
      </c>
      <c r="C13" s="237">
        <f>'P2'!E14</f>
        <v>0.6327749762095657</v>
      </c>
      <c r="D13" s="233">
        <f aca="true" t="shared" si="0" ref="D13:D19">E13/F13</f>
        <v>0.22809627120044149</v>
      </c>
      <c r="E13" s="163">
        <v>397.627</v>
      </c>
      <c r="F13" s="165">
        <f>'P2'!F14</f>
        <v>1743.242</v>
      </c>
      <c r="G13" s="233">
        <f aca="true" t="shared" si="1" ref="G13:G26">H13/I13</f>
        <v>0.1795325460635261</v>
      </c>
      <c r="H13" s="163">
        <v>191.679</v>
      </c>
      <c r="I13" s="163">
        <f>'P2'!G14</f>
        <v>1067.656</v>
      </c>
      <c r="J13" s="160" t="s">
        <v>68</v>
      </c>
      <c r="K13" s="3"/>
      <c r="P13" s="9"/>
    </row>
    <row r="14" spans="1:16" ht="19.5" customHeight="1">
      <c r="A14" s="12"/>
      <c r="B14" s="236">
        <f>(E14-H14)/H14</f>
        <v>-0.04810531443399144</v>
      </c>
      <c r="C14" s="237">
        <f>'P2'!E15</f>
        <v>-0.2718654413021366</v>
      </c>
      <c r="D14" s="233">
        <f t="shared" si="0"/>
        <v>0.25239870156402516</v>
      </c>
      <c r="E14" s="163">
        <v>1111.892</v>
      </c>
      <c r="F14" s="165">
        <f>'P2'!F15</f>
        <v>4405.3</v>
      </c>
      <c r="G14" s="233">
        <f t="shared" si="1"/>
        <v>0.1930678046279428</v>
      </c>
      <c r="H14" s="163">
        <v>1168.083</v>
      </c>
      <c r="I14" s="163">
        <f>'P2'!G15</f>
        <v>6050.118</v>
      </c>
      <c r="J14" s="160" t="s">
        <v>69</v>
      </c>
      <c r="K14" s="3"/>
      <c r="P14" s="9"/>
    </row>
    <row r="15" spans="1:16" ht="19.5" customHeight="1">
      <c r="A15" s="12"/>
      <c r="B15" s="236">
        <f aca="true" t="shared" si="2" ref="B15:B24">(E15-H15)/H15</f>
        <v>0.7840160083814522</v>
      </c>
      <c r="C15" s="237">
        <f>'P2'!E16</f>
        <v>4.178229609809213</v>
      </c>
      <c r="D15" s="233">
        <f t="shared" si="0"/>
        <v>0.12153892784317936</v>
      </c>
      <c r="E15" s="163">
        <v>2969.723</v>
      </c>
      <c r="F15" s="165">
        <f>'P2'!F16</f>
        <v>24434.336</v>
      </c>
      <c r="G15" s="233">
        <f t="shared" si="1"/>
        <v>0.3527751275466413</v>
      </c>
      <c r="H15" s="163">
        <v>1664.628</v>
      </c>
      <c r="I15" s="163">
        <f>'P2'!G16</f>
        <v>4718.666</v>
      </c>
      <c r="J15" s="160" t="s">
        <v>70</v>
      </c>
      <c r="K15" s="3"/>
      <c r="P15" s="9"/>
    </row>
    <row r="16" spans="1:16" ht="19.5" customHeight="1">
      <c r="A16" s="12"/>
      <c r="B16" s="236">
        <f t="shared" si="2"/>
        <v>-0.03727205128094473</v>
      </c>
      <c r="C16" s="237">
        <f>'P2'!E17</f>
        <v>-0.061695614678437094</v>
      </c>
      <c r="D16" s="233">
        <f t="shared" si="0"/>
        <v>0.20670694730773656</v>
      </c>
      <c r="E16" s="163">
        <v>10261.8</v>
      </c>
      <c r="F16" s="165">
        <f>'P2'!F17</f>
        <v>49644.195</v>
      </c>
      <c r="G16" s="233">
        <f t="shared" si="1"/>
        <v>0.201462973411487</v>
      </c>
      <c r="H16" s="163">
        <v>10659.086</v>
      </c>
      <c r="I16" s="163">
        <f>'P2'!G17</f>
        <v>52908.412</v>
      </c>
      <c r="J16" s="160" t="s">
        <v>71</v>
      </c>
      <c r="K16" s="3"/>
      <c r="P16" s="9"/>
    </row>
    <row r="17" spans="1:16" ht="19.5" customHeight="1">
      <c r="A17" s="12"/>
      <c r="B17" s="236">
        <f t="shared" si="2"/>
        <v>-0.41384196527642236</v>
      </c>
      <c r="C17" s="237">
        <f>'P2'!E18</f>
        <v>-0.5536966132026663</v>
      </c>
      <c r="D17" s="233">
        <f t="shared" si="0"/>
        <v>0.2371906211650843</v>
      </c>
      <c r="E17" s="163">
        <v>4366.63</v>
      </c>
      <c r="F17" s="165">
        <f>'P2'!F18</f>
        <v>18409.792</v>
      </c>
      <c r="G17" s="233">
        <f t="shared" si="1"/>
        <v>0.18059801499174502</v>
      </c>
      <c r="H17" s="163">
        <v>7449.578</v>
      </c>
      <c r="I17" s="163">
        <f>'P2'!G18</f>
        <v>41249.501</v>
      </c>
      <c r="J17" s="160" t="s">
        <v>72</v>
      </c>
      <c r="K17" s="3"/>
      <c r="P17" s="9"/>
    </row>
    <row r="18" spans="1:16" ht="19.5" customHeight="1">
      <c r="A18" s="12"/>
      <c r="B18" s="236">
        <f t="shared" si="2"/>
        <v>-0.11665456405832607</v>
      </c>
      <c r="C18" s="237">
        <f>'P2'!E19</f>
        <v>-0.2597740487925567</v>
      </c>
      <c r="D18" s="233">
        <f t="shared" si="0"/>
        <v>0.29935261149950737</v>
      </c>
      <c r="E18" s="163">
        <v>9572.379</v>
      </c>
      <c r="F18" s="165">
        <f>'P2'!F19</f>
        <v>31976.935</v>
      </c>
      <c r="G18" s="233">
        <f t="shared" si="1"/>
        <v>0.250851549776147</v>
      </c>
      <c r="H18" s="163">
        <f>10836.507</f>
        <v>10836.507</v>
      </c>
      <c r="I18" s="163">
        <f>'P2'!G19</f>
        <v>43198.884</v>
      </c>
      <c r="J18" s="160" t="s">
        <v>73</v>
      </c>
      <c r="K18" s="3"/>
      <c r="P18" s="9"/>
    </row>
    <row r="19" spans="1:16" ht="19.5" customHeight="1">
      <c r="A19" s="12"/>
      <c r="B19" s="236">
        <f t="shared" si="2"/>
        <v>1.5995884144707238</v>
      </c>
      <c r="C19" s="237">
        <f>'P2'!E20</f>
        <v>3.377436081519222</v>
      </c>
      <c r="D19" s="233">
        <f t="shared" si="0"/>
        <v>0.1858764647901474</v>
      </c>
      <c r="E19" s="163">
        <v>3513.394</v>
      </c>
      <c r="F19" s="165">
        <f>'P2'!F20</f>
        <v>18901.769</v>
      </c>
      <c r="G19" s="233">
        <f t="shared" si="1"/>
        <v>0.3129966032885595</v>
      </c>
      <c r="H19" s="163">
        <v>1351.519333</v>
      </c>
      <c r="I19" s="163">
        <f>'P2'!G20</f>
        <v>4318</v>
      </c>
      <c r="J19" s="160" t="s">
        <v>74</v>
      </c>
      <c r="K19" s="3"/>
      <c r="P19" s="9"/>
    </row>
    <row r="20" spans="1:11" s="15" customFormat="1" ht="19.5" customHeight="1">
      <c r="A20" s="12"/>
      <c r="B20" s="238">
        <f t="shared" si="2"/>
        <v>-0.03384149978724516</v>
      </c>
      <c r="C20" s="235">
        <f>'P2'!E21</f>
        <v>-0.026028505001233077</v>
      </c>
      <c r="D20" s="235">
        <f aca="true" t="shared" si="3" ref="D20:D28">E20/F20</f>
        <v>0.21531834587741158</v>
      </c>
      <c r="E20" s="158">
        <f>SUM(E13:E19)</f>
        <v>32193.445</v>
      </c>
      <c r="F20" s="164">
        <f>SUM(F13:F19)</f>
        <v>149515.56900000002</v>
      </c>
      <c r="G20" s="234">
        <f t="shared" si="1"/>
        <v>0.21705955201833205</v>
      </c>
      <c r="H20" s="158">
        <f>SUM(H13:H19)</f>
        <v>33321.080333</v>
      </c>
      <c r="I20" s="158">
        <f>SUM(I13:I19)</f>
        <v>153511.237</v>
      </c>
      <c r="J20" s="99" t="s">
        <v>75</v>
      </c>
      <c r="K20" s="63"/>
    </row>
    <row r="21" spans="1:16" ht="19.5" customHeight="1">
      <c r="A21" s="16"/>
      <c r="B21" s="236">
        <f t="shared" si="2"/>
        <v>-0.24079950722903803</v>
      </c>
      <c r="C21" s="237">
        <f>'P2'!E22</f>
        <v>-0.32919202119116997</v>
      </c>
      <c r="D21" s="233">
        <f t="shared" si="3"/>
        <v>0.28928101000506595</v>
      </c>
      <c r="E21" s="163">
        <v>6448.6543</v>
      </c>
      <c r="F21" s="165">
        <f>'P2'!F22</f>
        <v>22292.007</v>
      </c>
      <c r="G21" s="233">
        <f t="shared" si="1"/>
        <v>0.2556004790263189</v>
      </c>
      <c r="H21" s="163">
        <v>8494.007</v>
      </c>
      <c r="I21" s="163">
        <f>'P2'!G22</f>
        <v>33231.577</v>
      </c>
      <c r="J21" s="160" t="s">
        <v>76</v>
      </c>
      <c r="K21" s="3"/>
      <c r="P21" s="9"/>
    </row>
    <row r="22" spans="1:16" ht="19.5" customHeight="1">
      <c r="A22" s="12"/>
      <c r="B22" s="236">
        <f t="shared" si="2"/>
        <v>0.26014125419402534</v>
      </c>
      <c r="C22" s="237">
        <f>'P2'!E23</f>
        <v>0.07035453032004607</v>
      </c>
      <c r="D22" s="233">
        <f t="shared" si="3"/>
        <v>0.32882801997134775</v>
      </c>
      <c r="E22" s="163">
        <v>10910.492</v>
      </c>
      <c r="F22" s="165">
        <f>'P2'!F23</f>
        <v>33179.934</v>
      </c>
      <c r="G22" s="233">
        <f t="shared" si="1"/>
        <v>0.2793040539710087</v>
      </c>
      <c r="H22" s="163">
        <v>8658.15</v>
      </c>
      <c r="I22" s="163">
        <f>'P2'!G23</f>
        <v>30999.013</v>
      </c>
      <c r="J22" s="160" t="s">
        <v>77</v>
      </c>
      <c r="K22" s="3"/>
      <c r="P22" s="9"/>
    </row>
    <row r="23" spans="1:16" ht="19.5" customHeight="1">
      <c r="A23" s="12"/>
      <c r="B23" s="236">
        <f t="shared" si="2"/>
        <v>0.6227100999806527</v>
      </c>
      <c r="C23" s="237">
        <f>'P2'!E24</f>
        <v>0.8113742541558113</v>
      </c>
      <c r="D23" s="233">
        <f t="shared" si="3"/>
        <v>0.3411176946924332</v>
      </c>
      <c r="E23" s="163">
        <v>8211.0413</v>
      </c>
      <c r="F23" s="165">
        <f>'P2'!F24</f>
        <v>24070.992</v>
      </c>
      <c r="G23" s="233">
        <f t="shared" si="1"/>
        <v>0.3807776939394307</v>
      </c>
      <c r="H23" s="163">
        <v>5060.079</v>
      </c>
      <c r="I23" s="163">
        <f>'P2'!G24</f>
        <v>13288.801</v>
      </c>
      <c r="J23" s="160" t="s">
        <v>78</v>
      </c>
      <c r="K23" s="3"/>
      <c r="P23" s="9"/>
    </row>
    <row r="24" spans="1:16" ht="19.5" customHeight="1">
      <c r="A24" s="12"/>
      <c r="B24" s="236">
        <f t="shared" si="2"/>
        <v>0.39012709780493593</v>
      </c>
      <c r="C24" s="237">
        <f>'P2'!E25</f>
        <v>0.4925328486807017</v>
      </c>
      <c r="D24" s="233">
        <f t="shared" si="3"/>
        <v>0.3311747706189991</v>
      </c>
      <c r="E24" s="163">
        <v>7824.0023</v>
      </c>
      <c r="F24" s="165">
        <f>'P2'!F25</f>
        <v>23624.995</v>
      </c>
      <c r="G24" s="233">
        <f t="shared" si="1"/>
        <v>0.3555712456678633</v>
      </c>
      <c r="H24" s="163">
        <v>5628.264</v>
      </c>
      <c r="I24" s="163">
        <f>'P2'!G25</f>
        <v>15828.794</v>
      </c>
      <c r="J24" s="160" t="s">
        <v>79</v>
      </c>
      <c r="K24" s="3"/>
      <c r="P24" s="9"/>
    </row>
    <row r="25" spans="1:11" s="15" customFormat="1" ht="19.5" customHeight="1">
      <c r="A25" s="12"/>
      <c r="B25" s="238">
        <f aca="true" t="shared" si="4" ref="B25:B42">(E25-H25)/H25</f>
        <v>0.1994824051292183</v>
      </c>
      <c r="C25" s="235">
        <f>'P2'!E26</f>
        <v>0.10519479302141764</v>
      </c>
      <c r="D25" s="235">
        <f t="shared" si="3"/>
        <v>0.323687705543529</v>
      </c>
      <c r="E25" s="158">
        <f>SUM(E21:E24)</f>
        <v>33394.1899</v>
      </c>
      <c r="F25" s="164">
        <f>SUM(F21:F24)</f>
        <v>103167.928</v>
      </c>
      <c r="G25" s="234">
        <f t="shared" si="1"/>
        <v>0.29824361341358696</v>
      </c>
      <c r="H25" s="158">
        <f>SUM(H21:H24)</f>
        <v>27840.499999999996</v>
      </c>
      <c r="I25" s="158">
        <f>SUM(I21:I24)</f>
        <v>93348.185</v>
      </c>
      <c r="J25" s="99" t="s">
        <v>80</v>
      </c>
      <c r="K25" s="63"/>
    </row>
    <row r="26" spans="1:16" ht="19.5" customHeight="1">
      <c r="A26" s="16"/>
      <c r="B26" s="236">
        <f t="shared" si="4"/>
        <v>-0.06316469564042405</v>
      </c>
      <c r="C26" s="237">
        <f>'P2'!E27</f>
        <v>-0.02114662562308792</v>
      </c>
      <c r="D26" s="233">
        <f t="shared" si="3"/>
        <v>0.36626201527269453</v>
      </c>
      <c r="E26" s="163">
        <v>13430.979</v>
      </c>
      <c r="F26" s="165">
        <f>'P2'!F27</f>
        <v>36670.412</v>
      </c>
      <c r="G26" s="233">
        <f t="shared" si="1"/>
        <v>0.3826892602012352</v>
      </c>
      <c r="H26" s="163">
        <v>14336.542333</v>
      </c>
      <c r="I26" s="163">
        <f>'P2'!G27</f>
        <v>37462.62</v>
      </c>
      <c r="J26" s="160" t="s">
        <v>81</v>
      </c>
      <c r="K26" s="3"/>
      <c r="P26" s="9"/>
    </row>
    <row r="27" spans="1:16" ht="19.5" customHeight="1">
      <c r="A27" s="12"/>
      <c r="B27" s="236">
        <f t="shared" si="4"/>
        <v>0.13814530160028327</v>
      </c>
      <c r="C27" s="237">
        <f>'P2'!E28</f>
        <v>0.005318227853777231</v>
      </c>
      <c r="D27" s="233">
        <f t="shared" si="3"/>
        <v>0.36714069671646604</v>
      </c>
      <c r="E27" s="163">
        <v>16610.566</v>
      </c>
      <c r="F27" s="165">
        <f>'P2'!F28</f>
        <v>45243.053</v>
      </c>
      <c r="G27" s="233">
        <f aca="true" t="shared" si="5" ref="G27:G42">H27/I27</f>
        <v>0.32429359773048055</v>
      </c>
      <c r="H27" s="163">
        <v>14594.416</v>
      </c>
      <c r="I27" s="163">
        <f>'P2'!G28</f>
        <v>45003.713</v>
      </c>
      <c r="J27" s="160" t="s">
        <v>82</v>
      </c>
      <c r="K27" s="3"/>
      <c r="P27" s="9"/>
    </row>
    <row r="28" spans="1:16" ht="19.5" customHeight="1">
      <c r="A28" s="12"/>
      <c r="B28" s="236">
        <f t="shared" si="4"/>
        <v>-0.3466810505373299</v>
      </c>
      <c r="C28" s="237">
        <f>'P2'!E29</f>
        <v>-0.3164881920738928</v>
      </c>
      <c r="D28" s="233">
        <f t="shared" si="3"/>
        <v>0.38018243640238436</v>
      </c>
      <c r="E28" s="163">
        <v>11134.622</v>
      </c>
      <c r="F28" s="165">
        <f>'P2'!F29</f>
        <v>29287.576</v>
      </c>
      <c r="G28" s="233">
        <f t="shared" si="5"/>
        <v>0.3977524066321209</v>
      </c>
      <c r="H28" s="163">
        <v>17043.164</v>
      </c>
      <c r="I28" s="163">
        <f>'P2'!G29</f>
        <v>42848.676</v>
      </c>
      <c r="J28" s="160" t="s">
        <v>83</v>
      </c>
      <c r="K28" s="3"/>
      <c r="P28" s="9"/>
    </row>
    <row r="29" spans="1:11" s="15" customFormat="1" ht="19.5" customHeight="1">
      <c r="A29" s="12"/>
      <c r="B29" s="238">
        <f t="shared" si="4"/>
        <v>-0.10436208652875249</v>
      </c>
      <c r="C29" s="235">
        <f>'P2'!E30</f>
        <v>-0.11262791354864779</v>
      </c>
      <c r="D29" s="235">
        <f aca="true" t="shared" si="6" ref="D29:D35">E29/F29</f>
        <v>0.37028580514817305</v>
      </c>
      <c r="E29" s="158">
        <f>SUM(E26:E28)</f>
        <v>41176.167</v>
      </c>
      <c r="F29" s="164">
        <f>SUM(F26:F28)</f>
        <v>111201.041</v>
      </c>
      <c r="G29" s="234">
        <f t="shared" si="5"/>
        <v>0.3668684437711686</v>
      </c>
      <c r="H29" s="158">
        <f>SUM(H26:H28)</f>
        <v>45974.122333</v>
      </c>
      <c r="I29" s="158">
        <f>SUM(I26:I28)</f>
        <v>125315.00900000002</v>
      </c>
      <c r="J29" s="99" t="s">
        <v>84</v>
      </c>
      <c r="K29" s="63"/>
    </row>
    <row r="30" spans="1:16" ht="19.5" customHeight="1">
      <c r="A30" s="16"/>
      <c r="B30" s="236">
        <f t="shared" si="4"/>
        <v>0.41411516323501496</v>
      </c>
      <c r="C30" s="237">
        <f>'P2'!E31</f>
        <v>0.4067497841734239</v>
      </c>
      <c r="D30" s="233">
        <f t="shared" si="6"/>
        <v>0.17339692301807383</v>
      </c>
      <c r="E30" s="163">
        <v>2302.772</v>
      </c>
      <c r="F30" s="165">
        <f>'P2'!F31</f>
        <v>13280.351</v>
      </c>
      <c r="G30" s="233">
        <f t="shared" si="5"/>
        <v>0.17249379002060283</v>
      </c>
      <c r="H30" s="163">
        <v>1628.419</v>
      </c>
      <c r="I30" s="163">
        <f>'P2'!G31</f>
        <v>9440.45</v>
      </c>
      <c r="J30" s="160" t="s">
        <v>85</v>
      </c>
      <c r="K30" s="3"/>
      <c r="P30" s="9"/>
    </row>
    <row r="31" spans="1:16" ht="19.5" customHeight="1">
      <c r="A31" s="12"/>
      <c r="B31" s="236">
        <f t="shared" si="4"/>
        <v>0.10838179968564153</v>
      </c>
      <c r="C31" s="237">
        <f>'P2'!E32</f>
        <v>0.1238651403407007</v>
      </c>
      <c r="D31" s="233">
        <f t="shared" si="6"/>
        <v>0.19412640649631657</v>
      </c>
      <c r="E31" s="163">
        <v>3685.927</v>
      </c>
      <c r="F31" s="165">
        <f>'P2'!F32</f>
        <v>18987.252</v>
      </c>
      <c r="G31" s="233">
        <f t="shared" si="5"/>
        <v>0.19683822049649002</v>
      </c>
      <c r="H31" s="163">
        <v>3325.503</v>
      </c>
      <c r="I31" s="163">
        <f>'P2'!G32</f>
        <v>16894.6</v>
      </c>
      <c r="J31" s="160" t="s">
        <v>86</v>
      </c>
      <c r="K31" s="3"/>
      <c r="P31" s="9"/>
    </row>
    <row r="32" spans="1:16" ht="19.5" customHeight="1">
      <c r="A32" s="12"/>
      <c r="B32" s="236">
        <f t="shared" si="4"/>
        <v>0.42822144304396453</v>
      </c>
      <c r="C32" s="237">
        <f>'P2'!E33</f>
        <v>1.259758599061189</v>
      </c>
      <c r="D32" s="233">
        <f t="shared" si="6"/>
        <v>0.17952981922606753</v>
      </c>
      <c r="E32" s="163">
        <v>9905.854</v>
      </c>
      <c r="F32" s="165">
        <f>'P2'!F33</f>
        <v>55176.65</v>
      </c>
      <c r="G32" s="233">
        <f t="shared" si="5"/>
        <v>0.2840554276508776</v>
      </c>
      <c r="H32" s="163">
        <v>6935.797</v>
      </c>
      <c r="I32" s="163">
        <f>'P2'!G33</f>
        <v>24417.055</v>
      </c>
      <c r="J32" s="160" t="s">
        <v>87</v>
      </c>
      <c r="K32" s="3"/>
      <c r="P32" s="9"/>
    </row>
    <row r="33" spans="1:16" ht="19.5" customHeight="1">
      <c r="A33" s="12"/>
      <c r="B33" s="236">
        <f t="shared" si="4"/>
        <v>0.26240672738390863</v>
      </c>
      <c r="C33" s="237">
        <f>'P2'!E34</f>
        <v>0.39823287154263026</v>
      </c>
      <c r="D33" s="233">
        <f t="shared" si="6"/>
        <v>0.17624966047467688</v>
      </c>
      <c r="E33" s="163">
        <v>14475.922</v>
      </c>
      <c r="F33" s="165">
        <f>'P2'!F34</f>
        <v>82133.049</v>
      </c>
      <c r="G33" s="233">
        <f t="shared" si="5"/>
        <v>0.1952128925870158</v>
      </c>
      <c r="H33" s="163">
        <v>11466.924</v>
      </c>
      <c r="I33" s="163">
        <f>'P2'!G34</f>
        <v>58740.608</v>
      </c>
      <c r="J33" s="160" t="s">
        <v>88</v>
      </c>
      <c r="K33" s="3"/>
      <c r="P33" s="9"/>
    </row>
    <row r="34" spans="1:11" s="15" customFormat="1" ht="19.5" customHeight="1">
      <c r="A34" s="12"/>
      <c r="B34" s="238">
        <f t="shared" si="4"/>
        <v>0.30029281177093786</v>
      </c>
      <c r="C34" s="235">
        <f>'P2'!E35</f>
        <v>0.5487542262287356</v>
      </c>
      <c r="D34" s="235">
        <f t="shared" si="6"/>
        <v>0.17909516569617318</v>
      </c>
      <c r="E34" s="158">
        <f>SUM(E30:E33)</f>
        <v>30370.475</v>
      </c>
      <c r="F34" s="164">
        <f>SUM(F30:F33)</f>
        <v>169577.302</v>
      </c>
      <c r="G34" s="234">
        <f t="shared" si="5"/>
        <v>0.21331687159856935</v>
      </c>
      <c r="H34" s="158">
        <f>SUM(H30:H33)</f>
        <v>23356.643000000004</v>
      </c>
      <c r="I34" s="158">
        <f>SUM(I30:I33)</f>
        <v>109492.71299999999</v>
      </c>
      <c r="J34" s="99" t="s">
        <v>89</v>
      </c>
      <c r="K34" s="63"/>
    </row>
    <row r="35" spans="1:16" ht="19.5" customHeight="1">
      <c r="A35" s="16"/>
      <c r="B35" s="236">
        <f t="shared" si="4"/>
        <v>-0.27839438795012605</v>
      </c>
      <c r="C35" s="237">
        <f>'P2'!E36</f>
        <v>-0.3087949968160691</v>
      </c>
      <c r="D35" s="233">
        <f t="shared" si="6"/>
        <v>0.3797700003409388</v>
      </c>
      <c r="E35" s="163">
        <v>6716.7873</v>
      </c>
      <c r="F35" s="165">
        <f>'P2'!F36</f>
        <v>17686.461</v>
      </c>
      <c r="G35" s="233">
        <f t="shared" si="5"/>
        <v>0.3637706247171999</v>
      </c>
      <c r="H35" s="163">
        <v>9308.114</v>
      </c>
      <c r="I35" s="163">
        <f>'P2'!G36</f>
        <v>25587.866</v>
      </c>
      <c r="J35" s="160" t="s">
        <v>90</v>
      </c>
      <c r="K35" s="3"/>
      <c r="P35" s="9"/>
    </row>
    <row r="36" spans="1:16" ht="19.5" customHeight="1">
      <c r="A36" s="12"/>
      <c r="B36" s="233">
        <f>C36/D36</f>
        <v>-0.6219507883545149</v>
      </c>
      <c r="C36" s="237">
        <f>'P2'!E37</f>
        <v>-0.20089174324016335</v>
      </c>
      <c r="D36" s="233">
        <f aca="true" t="shared" si="7" ref="D36:D43">E36/F36</f>
        <v>0.32300263461625217</v>
      </c>
      <c r="E36" s="163">
        <v>1911.694</v>
      </c>
      <c r="F36" s="165">
        <f>'P2'!F37</f>
        <v>5918.509</v>
      </c>
      <c r="G36" s="233">
        <f t="shared" si="5"/>
        <v>0.3548635647424549</v>
      </c>
      <c r="H36" s="163">
        <v>2628.258667</v>
      </c>
      <c r="I36" s="163">
        <f>'P2'!G37</f>
        <v>7406.392</v>
      </c>
      <c r="J36" s="160" t="s">
        <v>91</v>
      </c>
      <c r="K36" s="3"/>
      <c r="P36" s="9"/>
    </row>
    <row r="37" spans="1:16" ht="19.5" customHeight="1">
      <c r="A37" s="12"/>
      <c r="B37" s="236">
        <f t="shared" si="4"/>
        <v>-0.070218722537619</v>
      </c>
      <c r="C37" s="237">
        <f>'P2'!E38</f>
        <v>-0.04924927875426615</v>
      </c>
      <c r="D37" s="233">
        <f t="shared" si="7"/>
        <v>0.3172632220804637</v>
      </c>
      <c r="E37" s="163">
        <v>2468.325</v>
      </c>
      <c r="F37" s="165">
        <f>'P2'!F38</f>
        <v>7780.054</v>
      </c>
      <c r="G37" s="233">
        <f t="shared" si="5"/>
        <v>0.3244184890891725</v>
      </c>
      <c r="H37" s="163">
        <v>2654.737259</v>
      </c>
      <c r="I37" s="163">
        <f>'P2'!G38</f>
        <v>8183.064</v>
      </c>
      <c r="J37" s="160" t="s">
        <v>92</v>
      </c>
      <c r="K37" s="3"/>
      <c r="P37" s="9"/>
    </row>
    <row r="38" spans="1:11" s="15" customFormat="1" ht="19.5" customHeight="1">
      <c r="A38" s="12"/>
      <c r="B38" s="238">
        <f t="shared" si="4"/>
        <v>-0.23948168739195608</v>
      </c>
      <c r="C38" s="235">
        <f>'P2'!E39</f>
        <v>-0.2378080342378749</v>
      </c>
      <c r="D38" s="235">
        <f t="shared" si="7"/>
        <v>0.3535701071950749</v>
      </c>
      <c r="E38" s="158">
        <f>SUM(E35:E37)</f>
        <v>11096.8063</v>
      </c>
      <c r="F38" s="164">
        <f>SUM(F35:F37)</f>
        <v>31385.024</v>
      </c>
      <c r="G38" s="234">
        <f>H38/I38</f>
        <v>0.3543481998659359</v>
      </c>
      <c r="H38" s="158">
        <f>SUM(H35:H37)</f>
        <v>14591.109926</v>
      </c>
      <c r="I38" s="158">
        <f>SUM(I35:I37)</f>
        <v>41177.322</v>
      </c>
      <c r="J38" s="99" t="s">
        <v>93</v>
      </c>
      <c r="K38" s="63"/>
    </row>
    <row r="39" spans="1:16" ht="19.5" customHeight="1">
      <c r="A39" s="16"/>
      <c r="B39" s="236">
        <f t="shared" si="4"/>
        <v>0.2786925451294527</v>
      </c>
      <c r="C39" s="237">
        <f>'P2'!E40</f>
        <v>0.6464895505555636</v>
      </c>
      <c r="D39" s="233">
        <f>E39/F39</f>
        <v>0.21098678497480422</v>
      </c>
      <c r="E39" s="163">
        <v>8759.136</v>
      </c>
      <c r="F39" s="165">
        <f>'P2'!F40</f>
        <v>41515.093</v>
      </c>
      <c r="G39" s="233">
        <f t="shared" si="5"/>
        <v>0.27167401428086047</v>
      </c>
      <c r="H39" s="163">
        <v>6850.072</v>
      </c>
      <c r="I39" s="163">
        <f>'P2'!G40</f>
        <v>25214.307</v>
      </c>
      <c r="J39" s="160" t="s">
        <v>94</v>
      </c>
      <c r="K39" s="3"/>
      <c r="P39" s="9"/>
    </row>
    <row r="40" spans="1:16" ht="19.5" customHeight="1">
      <c r="A40" s="12"/>
      <c r="B40" s="236">
        <f t="shared" si="4"/>
        <v>0.015935270092852855</v>
      </c>
      <c r="C40" s="237">
        <f>'P2'!E41</f>
        <v>0.34139716594349584</v>
      </c>
      <c r="D40" s="233">
        <f>E40/F40</f>
        <v>0.2974300097057142</v>
      </c>
      <c r="E40" s="163">
        <v>6693.7513</v>
      </c>
      <c r="F40" s="165">
        <f>'P2'!F41</f>
        <v>22505.299</v>
      </c>
      <c r="G40" s="233">
        <f t="shared" si="5"/>
        <v>0.39271377205885066</v>
      </c>
      <c r="H40" s="163">
        <v>6588.757667</v>
      </c>
      <c r="I40" s="163">
        <f>'P2'!G41</f>
        <v>16777.506</v>
      </c>
      <c r="J40" s="160" t="s">
        <v>95</v>
      </c>
      <c r="K40" s="3"/>
      <c r="P40" s="9"/>
    </row>
    <row r="41" spans="1:16" ht="19.5" customHeight="1">
      <c r="A41" s="12"/>
      <c r="B41" s="236">
        <f t="shared" si="4"/>
        <v>-0.34711284095163486</v>
      </c>
      <c r="C41" s="237">
        <f>'P2'!E42</f>
        <v>-0.39702168365235985</v>
      </c>
      <c r="D41" s="233">
        <f>E41/F41</f>
        <v>0.35478618872481743</v>
      </c>
      <c r="E41" s="163">
        <v>2585.256</v>
      </c>
      <c r="F41" s="165">
        <f>'P2'!F42</f>
        <v>7286.8</v>
      </c>
      <c r="G41" s="233">
        <f t="shared" si="5"/>
        <v>0.3276651650684999</v>
      </c>
      <c r="H41" s="163">
        <v>3959.728667</v>
      </c>
      <c r="I41" s="163">
        <f>'P2'!G42</f>
        <v>12084.68</v>
      </c>
      <c r="J41" s="160" t="s">
        <v>96</v>
      </c>
      <c r="K41" s="3"/>
      <c r="P41" s="9"/>
    </row>
    <row r="42" spans="1:11" s="17" customFormat="1" ht="19.5" customHeight="1">
      <c r="A42" s="12"/>
      <c r="B42" s="238">
        <f t="shared" si="4"/>
        <v>0.03676080245971479</v>
      </c>
      <c r="C42" s="235">
        <f>'P2'!E43</f>
        <v>0.318635659305791</v>
      </c>
      <c r="D42" s="235">
        <f t="shared" si="7"/>
        <v>0.2529638707411168</v>
      </c>
      <c r="E42" s="158">
        <f>SUM(E39:E41)</f>
        <v>18038.1433</v>
      </c>
      <c r="F42" s="164">
        <f>SUM(F39:F41)</f>
        <v>71307.192</v>
      </c>
      <c r="G42" s="234">
        <f t="shared" si="5"/>
        <v>0.32173976840546964</v>
      </c>
      <c r="H42" s="158">
        <f>SUM(H39:H41)</f>
        <v>17398.558334</v>
      </c>
      <c r="I42" s="158">
        <f>SUM(I39:I41)</f>
        <v>54076.493</v>
      </c>
      <c r="J42" s="99" t="s">
        <v>97</v>
      </c>
      <c r="K42" s="11"/>
    </row>
    <row r="43" spans="1:16" ht="19.5" customHeight="1">
      <c r="A43" s="18"/>
      <c r="B43" s="238">
        <f>(E43-H43)/H43</f>
        <v>0.02330850339979682</v>
      </c>
      <c r="C43" s="235">
        <f>'P2'!E44</f>
        <v>0.10267107837904024</v>
      </c>
      <c r="D43" s="235">
        <f t="shared" si="7"/>
        <v>0.26136629159525465</v>
      </c>
      <c r="E43" s="164">
        <f>E42+E38+E34+E29+E20+E25</f>
        <v>166269.2265</v>
      </c>
      <c r="F43" s="164">
        <f>F20+F25+F29+F34+F38+F42</f>
        <v>636154.0560000001</v>
      </c>
      <c r="G43" s="234">
        <f>H43/I43</f>
        <v>0.2816365247115246</v>
      </c>
      <c r="H43" s="164">
        <f>H42+H38+H34+H29+H20+H25</f>
        <v>162482.01392599999</v>
      </c>
      <c r="I43" s="164">
        <f>I42+I38+I34+I29+I20+I25</f>
        <v>576920.959</v>
      </c>
      <c r="J43" s="99" t="s">
        <v>20</v>
      </c>
      <c r="K43" s="3"/>
      <c r="P43" s="9"/>
    </row>
    <row r="44" spans="1:18" ht="18" customHeight="1">
      <c r="A44" s="12"/>
      <c r="B44" s="3"/>
      <c r="C44" s="3" t="s">
        <v>0</v>
      </c>
      <c r="D44" s="3"/>
      <c r="E44" s="3" t="s">
        <v>0</v>
      </c>
      <c r="F44" s="3"/>
      <c r="G44" s="63"/>
      <c r="H44" s="3"/>
      <c r="I44" s="3"/>
      <c r="J44" s="3"/>
      <c r="K44" s="3"/>
      <c r="L44" s="3"/>
      <c r="M44" s="3"/>
      <c r="N44" s="3"/>
      <c r="O44" s="3"/>
      <c r="P44" s="10"/>
      <c r="Q44" s="3"/>
      <c r="R44" s="3"/>
    </row>
    <row r="45" spans="1:18" ht="59.25" customHeight="1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0"/>
      <c r="Q45" s="3"/>
      <c r="R45" s="3"/>
    </row>
    <row r="46" spans="1:17" ht="18" customHeight="1" hidden="1" thickBot="1">
      <c r="A46" s="12"/>
      <c r="B46" s="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  <c r="Q46" s="21"/>
    </row>
    <row r="47" spans="1:2" ht="18" customHeight="1">
      <c r="A47" s="3"/>
      <c r="B47" s="3"/>
    </row>
  </sheetData>
  <sheetProtection/>
  <mergeCells count="15">
    <mergeCell ref="A2:C2"/>
    <mergeCell ref="A3:C3"/>
    <mergeCell ref="B6:J6"/>
    <mergeCell ref="B7:J7"/>
    <mergeCell ref="H3:J3"/>
    <mergeCell ref="I2:J2"/>
    <mergeCell ref="B11:C11"/>
    <mergeCell ref="O10:P10"/>
    <mergeCell ref="C9:I9"/>
    <mergeCell ref="C5:I5"/>
    <mergeCell ref="B8:J8"/>
    <mergeCell ref="B10:C10"/>
    <mergeCell ref="J11:J12"/>
    <mergeCell ref="D11:F11"/>
    <mergeCell ref="G11:I11"/>
  </mergeCells>
  <printOptions horizontalCentered="1" verticalCentered="1"/>
  <pageMargins left="0.1968503937007874" right="0" top="0.1968503937007874" bottom="0.31496062992125984" header="0.4330708661417323" footer="0.5118110236220472"/>
  <pageSetup fitToHeight="1" fitToWidth="1" horizontalDpi="300" verticalDpi="300" orientation="portrait" paperSize="9" scale="82" r:id="rId2"/>
  <headerFooter alignWithMargins="0">
    <oddFooter>&amp;C- 5 -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3">
      <selection activeCell="H25" sqref="H25"/>
    </sheetView>
  </sheetViews>
  <sheetFormatPr defaultColWidth="8.7109375" defaultRowHeight="12.75"/>
  <cols>
    <col min="1" max="1" width="7.28125" style="9" customWidth="1"/>
    <col min="2" max="2" width="10.57421875" style="9" customWidth="1"/>
    <col min="3" max="4" width="10.7109375" style="9" bestFit="1" customWidth="1"/>
    <col min="5" max="5" width="10.00390625" style="9" bestFit="1" customWidth="1"/>
    <col min="6" max="6" width="9.57421875" style="9" bestFit="1" customWidth="1"/>
    <col min="7" max="7" width="10.28125" style="9" customWidth="1"/>
    <col min="8" max="8" width="25.57421875" style="9" customWidth="1"/>
    <col min="9" max="9" width="3.140625" style="9" customWidth="1"/>
    <col min="10" max="16384" width="8.7109375" style="9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11"/>
      <c r="C2" s="3"/>
      <c r="D2" s="3"/>
      <c r="E2" s="11"/>
      <c r="F2" s="11"/>
      <c r="G2" s="11"/>
      <c r="H2" s="11"/>
      <c r="I2" s="11"/>
    </row>
    <row r="3" spans="1:9" ht="15.75">
      <c r="A3" s="11"/>
      <c r="B3" s="86" t="s">
        <v>24</v>
      </c>
      <c r="C3" s="3"/>
      <c r="D3" s="3"/>
      <c r="E3" s="11"/>
      <c r="F3" s="11"/>
      <c r="G3" s="11"/>
      <c r="H3" s="80" t="s">
        <v>16</v>
      </c>
      <c r="I3" s="80"/>
    </row>
    <row r="4" spans="1:9" ht="29.25" customHeight="1">
      <c r="A4" s="12"/>
      <c r="B4" s="79" t="s">
        <v>21</v>
      </c>
      <c r="C4" s="3"/>
      <c r="D4" s="3"/>
      <c r="E4" s="3"/>
      <c r="F4" s="3"/>
      <c r="G4" s="344" t="s">
        <v>130</v>
      </c>
      <c r="H4" s="344"/>
      <c r="I4" s="80"/>
    </row>
    <row r="5" spans="1:9" ht="29.25" customHeight="1">
      <c r="A5" s="12"/>
      <c r="B5" s="79"/>
      <c r="C5" s="3"/>
      <c r="D5" s="3"/>
      <c r="E5" s="3"/>
      <c r="F5" s="3"/>
      <c r="G5" s="3"/>
      <c r="H5" s="79"/>
      <c r="I5" s="79"/>
    </row>
    <row r="6" spans="1:11" ht="29.25" customHeight="1">
      <c r="A6" s="12"/>
      <c r="B6" s="282" t="s">
        <v>110</v>
      </c>
      <c r="C6" s="282"/>
      <c r="D6" s="282"/>
      <c r="E6" s="282"/>
      <c r="F6" s="282"/>
      <c r="G6" s="282"/>
      <c r="H6" s="282"/>
      <c r="I6" s="41"/>
      <c r="J6" s="41"/>
      <c r="K6" s="41"/>
    </row>
    <row r="7" spans="1:11" ht="29.25" customHeight="1">
      <c r="A7" s="12"/>
      <c r="B7" s="266" t="s">
        <v>62</v>
      </c>
      <c r="C7" s="266"/>
      <c r="D7" s="266"/>
      <c r="E7" s="266"/>
      <c r="F7" s="266"/>
      <c r="G7" s="266"/>
      <c r="H7" s="266"/>
      <c r="I7" s="31"/>
      <c r="J7" s="31"/>
      <c r="K7" s="31"/>
    </row>
    <row r="8" spans="1:11" ht="22.5">
      <c r="A8" s="12"/>
      <c r="B8" s="266" t="s">
        <v>141</v>
      </c>
      <c r="C8" s="266"/>
      <c r="D8" s="266"/>
      <c r="E8" s="266"/>
      <c r="F8" s="266"/>
      <c r="G8" s="266"/>
      <c r="H8" s="266"/>
      <c r="I8" s="31"/>
      <c r="J8" s="31"/>
      <c r="K8" s="31"/>
    </row>
    <row r="9" spans="1:9" ht="10.5" customHeight="1">
      <c r="A9" s="12"/>
      <c r="B9" s="1"/>
      <c r="C9" s="1"/>
      <c r="D9" s="1"/>
      <c r="E9" s="1"/>
      <c r="F9" s="1" t="s">
        <v>0</v>
      </c>
      <c r="G9" s="1"/>
      <c r="H9" s="1"/>
      <c r="I9" s="3"/>
    </row>
    <row r="10" spans="1:9" ht="18.75">
      <c r="A10" s="12"/>
      <c r="B10" s="337"/>
      <c r="C10" s="337"/>
      <c r="D10" s="337"/>
      <c r="E10" s="337"/>
      <c r="F10" s="337"/>
      <c r="G10" s="337"/>
      <c r="H10" s="337"/>
      <c r="I10" s="3"/>
    </row>
    <row r="11" spans="1:9" ht="18.75">
      <c r="A11" s="12"/>
      <c r="B11" s="2"/>
      <c r="C11" s="2"/>
      <c r="D11" s="2"/>
      <c r="E11" s="2"/>
      <c r="F11" s="2"/>
      <c r="G11" s="2"/>
      <c r="H11" s="2"/>
      <c r="I11" s="3"/>
    </row>
    <row r="12" spans="1:9" ht="12.75" customHeight="1">
      <c r="A12" s="12"/>
      <c r="B12" s="277" t="s">
        <v>143</v>
      </c>
      <c r="C12" s="277"/>
      <c r="D12" s="3"/>
      <c r="E12" s="3"/>
      <c r="F12" s="3"/>
      <c r="G12" s="3"/>
      <c r="H12" s="240" t="s">
        <v>67</v>
      </c>
      <c r="I12" s="71"/>
    </row>
    <row r="13" spans="1:9" ht="18.75">
      <c r="A13" s="12"/>
      <c r="B13" s="242" t="s">
        <v>37</v>
      </c>
      <c r="C13" s="2"/>
      <c r="D13" s="4"/>
      <c r="E13" s="83" t="s">
        <v>35</v>
      </c>
      <c r="F13" s="85"/>
      <c r="G13" s="4"/>
      <c r="H13" s="290" t="s">
        <v>19</v>
      </c>
      <c r="I13" s="3"/>
    </row>
    <row r="14" spans="1:9" ht="18.75">
      <c r="A14" s="12"/>
      <c r="B14" s="99" t="s">
        <v>51</v>
      </c>
      <c r="C14" s="98">
        <v>2022</v>
      </c>
      <c r="D14" s="8">
        <v>2021</v>
      </c>
      <c r="E14" s="99" t="s">
        <v>51</v>
      </c>
      <c r="F14" s="98">
        <v>2022</v>
      </c>
      <c r="G14" s="8">
        <v>2021</v>
      </c>
      <c r="H14" s="345"/>
      <c r="I14" s="3"/>
    </row>
    <row r="15" spans="1:9" ht="15.75">
      <c r="A15" s="12"/>
      <c r="B15" s="231">
        <f>(C15-D15)/D15</f>
        <v>0.43571322912136257</v>
      </c>
      <c r="C15" s="166">
        <f>1355.466+7729.176</f>
        <v>9084.642</v>
      </c>
      <c r="D15" s="166">
        <v>6327.616</v>
      </c>
      <c r="E15" s="231">
        <f aca="true" t="shared" si="0" ref="E15:E31">(F15-G15)/G15</f>
        <v>0.1702127659574468</v>
      </c>
      <c r="F15" s="166">
        <f>6+49</f>
        <v>55</v>
      </c>
      <c r="G15" s="166">
        <v>47</v>
      </c>
      <c r="H15" s="5" t="s">
        <v>68</v>
      </c>
      <c r="I15" s="3"/>
    </row>
    <row r="16" spans="1:9" ht="15.75">
      <c r="A16" s="12"/>
      <c r="B16" s="231">
        <f>(C16-D16)/D16</f>
        <v>-0.20006205000616803</v>
      </c>
      <c r="C16" s="166">
        <f>1231.51+6537.105</f>
        <v>7768.615</v>
      </c>
      <c r="D16" s="166">
        <f>1030+8681.522</f>
        <v>9711.522</v>
      </c>
      <c r="E16" s="231">
        <f t="shared" si="0"/>
        <v>-0.03636363636363636</v>
      </c>
      <c r="F16" s="166">
        <f>4+49</f>
        <v>53</v>
      </c>
      <c r="G16" s="166">
        <f>6+49</f>
        <v>55</v>
      </c>
      <c r="H16" s="6" t="s">
        <v>69</v>
      </c>
      <c r="I16" s="3"/>
    </row>
    <row r="17" spans="1:9" ht="15.75">
      <c r="A17" s="12"/>
      <c r="B17" s="231">
        <f aca="true" t="shared" si="1" ref="B17:B26">(C17-D17)/D17</f>
        <v>-0.04568450008596302</v>
      </c>
      <c r="C17" s="166">
        <f>7277.4+32410.339</f>
        <v>39687.739</v>
      </c>
      <c r="D17" s="166">
        <f>1049.955+40537.695</f>
        <v>41587.65</v>
      </c>
      <c r="E17" s="231">
        <f t="shared" si="0"/>
        <v>-0.17757009345794392</v>
      </c>
      <c r="F17" s="166">
        <f>4+84</f>
        <v>88</v>
      </c>
      <c r="G17" s="166">
        <f>5+102</f>
        <v>107</v>
      </c>
      <c r="H17" s="6" t="s">
        <v>70</v>
      </c>
      <c r="I17" s="3"/>
    </row>
    <row r="18" spans="1:9" ht="15.75">
      <c r="A18" s="12"/>
      <c r="B18" s="231">
        <f t="shared" si="1"/>
        <v>-0.15938684936675365</v>
      </c>
      <c r="C18" s="166">
        <f>17418.943+70603.411</f>
        <v>88022.35399999999</v>
      </c>
      <c r="D18" s="166">
        <f>8579.395+96132.688</f>
        <v>104712.083</v>
      </c>
      <c r="E18" s="231">
        <f t="shared" si="0"/>
        <v>-0.0031746031746031746</v>
      </c>
      <c r="F18" s="166">
        <f>35+279</f>
        <v>314</v>
      </c>
      <c r="G18" s="166">
        <f>22+293</f>
        <v>315</v>
      </c>
      <c r="H18" s="6" t="s">
        <v>71</v>
      </c>
      <c r="I18" s="3"/>
    </row>
    <row r="19" spans="1:9" ht="15.75">
      <c r="A19" s="12"/>
      <c r="B19" s="231">
        <f t="shared" si="1"/>
        <v>-0.21193305710106486</v>
      </c>
      <c r="C19" s="166">
        <f>4472.699+48986.157</f>
        <v>53458.856</v>
      </c>
      <c r="D19" s="166">
        <f>6985.911+60849.514</f>
        <v>67835.425</v>
      </c>
      <c r="E19" s="231">
        <f t="shared" si="0"/>
        <v>-0.07246376811594203</v>
      </c>
      <c r="F19" s="166">
        <f>21+171</f>
        <v>192</v>
      </c>
      <c r="G19" s="166">
        <f>15+192</f>
        <v>207</v>
      </c>
      <c r="H19" s="6" t="s">
        <v>72</v>
      </c>
      <c r="I19" s="3"/>
    </row>
    <row r="20" spans="1:9" ht="15.75">
      <c r="A20" s="12"/>
      <c r="B20" s="231">
        <f t="shared" si="1"/>
        <v>0.01942019045295158</v>
      </c>
      <c r="C20" s="166">
        <f>6186.767+58886.721</f>
        <v>65073.488</v>
      </c>
      <c r="D20" s="166">
        <f>3486.67+60347.153</f>
        <v>63833.823</v>
      </c>
      <c r="E20" s="231">
        <f t="shared" si="0"/>
        <v>0.04046242774566474</v>
      </c>
      <c r="F20" s="166">
        <f>24+336</f>
        <v>360</v>
      </c>
      <c r="G20" s="166">
        <f>19+327</f>
        <v>346</v>
      </c>
      <c r="H20" s="6" t="s">
        <v>73</v>
      </c>
      <c r="I20" s="3"/>
    </row>
    <row r="21" spans="1:9" ht="15.75">
      <c r="A21" s="12"/>
      <c r="B21" s="231">
        <f t="shared" si="1"/>
        <v>0.15161796998411298</v>
      </c>
      <c r="C21" s="166">
        <f>17660.521+37806.038</f>
        <v>55466.559</v>
      </c>
      <c r="D21" s="166">
        <f>1538.001+46626.026</f>
        <v>48164.026999999995</v>
      </c>
      <c r="E21" s="231">
        <f t="shared" si="0"/>
        <v>0.3170731707317073</v>
      </c>
      <c r="F21" s="166">
        <f>27+135</f>
        <v>162</v>
      </c>
      <c r="G21" s="166">
        <f>5+118</f>
        <v>123</v>
      </c>
      <c r="H21" s="7" t="s">
        <v>74</v>
      </c>
      <c r="I21" s="3"/>
    </row>
    <row r="22" spans="1:9" s="17" customFormat="1" ht="15.75">
      <c r="A22" s="18"/>
      <c r="B22" s="232">
        <f>(C22-D22)/D22</f>
        <v>-0.06900004362131798</v>
      </c>
      <c r="C22" s="134">
        <f>SUM(C15:C21)</f>
        <v>318562.25299999997</v>
      </c>
      <c r="D22" s="134">
        <f>SUM(D15:D21)</f>
        <v>342172.14599999995</v>
      </c>
      <c r="E22" s="232">
        <f t="shared" si="0"/>
        <v>0.02</v>
      </c>
      <c r="F22" s="134">
        <f>SUM(F15:F21)</f>
        <v>1224</v>
      </c>
      <c r="G22" s="134">
        <f>SUM(G15:G21)</f>
        <v>1200</v>
      </c>
      <c r="H22" s="81" t="s">
        <v>75</v>
      </c>
      <c r="I22" s="11"/>
    </row>
    <row r="23" spans="1:9" ht="15.75">
      <c r="A23" s="12"/>
      <c r="B23" s="231">
        <f t="shared" si="1"/>
        <v>0.016593249126731227</v>
      </c>
      <c r="C23" s="166">
        <f>35268.176+45628.837</f>
        <v>80897.013</v>
      </c>
      <c r="D23" s="166">
        <f>2075.146+77501.433</f>
        <v>79576.579</v>
      </c>
      <c r="E23" s="231">
        <f t="shared" si="0"/>
        <v>0.3287671232876712</v>
      </c>
      <c r="F23" s="166">
        <f>160+228</f>
        <v>388</v>
      </c>
      <c r="G23" s="166">
        <f>17+275</f>
        <v>292</v>
      </c>
      <c r="H23" s="5" t="s">
        <v>76</v>
      </c>
      <c r="I23" s="3"/>
    </row>
    <row r="24" spans="1:9" ht="15.75">
      <c r="A24" s="12"/>
      <c r="B24" s="231">
        <f t="shared" si="1"/>
        <v>-0.016129107278174157</v>
      </c>
      <c r="C24" s="166">
        <f>1624.763+40046.336</f>
        <v>41671.099</v>
      </c>
      <c r="D24" s="166">
        <f>494.214+41860.021</f>
        <v>42354.235</v>
      </c>
      <c r="E24" s="231">
        <f t="shared" si="0"/>
        <v>0.13636363636363635</v>
      </c>
      <c r="F24" s="166">
        <f>5+320</f>
        <v>325</v>
      </c>
      <c r="G24" s="166">
        <f>3+283</f>
        <v>286</v>
      </c>
      <c r="H24" s="6" t="s">
        <v>77</v>
      </c>
      <c r="I24" s="3"/>
    </row>
    <row r="25" spans="1:9" ht="15.75">
      <c r="A25" s="12"/>
      <c r="B25" s="231">
        <f t="shared" si="1"/>
        <v>-0.11874593670910176</v>
      </c>
      <c r="C25" s="166">
        <f>3027.061+35927.631</f>
        <v>38954.692</v>
      </c>
      <c r="D25" s="166">
        <f>120.2+44083.502</f>
        <v>44203.702</v>
      </c>
      <c r="E25" s="231">
        <f t="shared" si="0"/>
        <v>0.14705882352941177</v>
      </c>
      <c r="F25" s="166">
        <f>16+335</f>
        <v>351</v>
      </c>
      <c r="G25" s="166">
        <f>3+303</f>
        <v>306</v>
      </c>
      <c r="H25" s="6" t="s">
        <v>78</v>
      </c>
      <c r="I25" s="3"/>
    </row>
    <row r="26" spans="1:9" ht="15.75">
      <c r="A26" s="12"/>
      <c r="B26" s="231">
        <f t="shared" si="1"/>
        <v>-0.3101676033947448</v>
      </c>
      <c r="C26" s="166">
        <f>2443.892+38412.374</f>
        <v>40856.266</v>
      </c>
      <c r="D26" s="166">
        <f>243+58983.366</f>
        <v>59226.366</v>
      </c>
      <c r="E26" s="231">
        <f t="shared" si="0"/>
        <v>-0.009174311926605505</v>
      </c>
      <c r="F26" s="166">
        <f>9+207</f>
        <v>216</v>
      </c>
      <c r="G26" s="166">
        <f>2+216</f>
        <v>218</v>
      </c>
      <c r="H26" s="7" t="s">
        <v>79</v>
      </c>
      <c r="I26" s="3"/>
    </row>
    <row r="27" spans="1:9" s="17" customFormat="1" ht="15.75">
      <c r="A27" s="18"/>
      <c r="B27" s="232">
        <f>(C27-D27)/D27</f>
        <v>-0.10197782239776645</v>
      </c>
      <c r="C27" s="134">
        <f>SUM(C23:C26)</f>
        <v>202379.07</v>
      </c>
      <c r="D27" s="134">
        <f>SUM(D23:D26)</f>
        <v>225360.882</v>
      </c>
      <c r="E27" s="232">
        <f t="shared" si="0"/>
        <v>0.16152450090744103</v>
      </c>
      <c r="F27" s="134">
        <f>SUM(F23:F26)</f>
        <v>1280</v>
      </c>
      <c r="G27" s="134">
        <f>SUM(G23:G26)</f>
        <v>1102</v>
      </c>
      <c r="H27" s="81" t="s">
        <v>80</v>
      </c>
      <c r="I27" s="11"/>
    </row>
    <row r="28" spans="1:9" ht="15.75">
      <c r="A28" s="12"/>
      <c r="B28" s="231">
        <f>(C28-D28)/D28</f>
        <v>-0.06281374781987457</v>
      </c>
      <c r="C28" s="166">
        <f>34992.693+41081.596</f>
        <v>76074.28899999999</v>
      </c>
      <c r="D28" s="166">
        <f>12416.816+68756.258</f>
        <v>81173.07400000001</v>
      </c>
      <c r="E28" s="231">
        <f t="shared" si="0"/>
        <v>-0.00904977375565611</v>
      </c>
      <c r="F28" s="166">
        <f>183+255</f>
        <v>438</v>
      </c>
      <c r="G28" s="166">
        <f>45+397</f>
        <v>442</v>
      </c>
      <c r="H28" s="5" t="s">
        <v>81</v>
      </c>
      <c r="I28" s="3"/>
    </row>
    <row r="29" spans="1:9" ht="15.75">
      <c r="A29" s="12"/>
      <c r="B29" s="231">
        <f>(C29-D29)/D29</f>
        <v>-0.12906787051951069</v>
      </c>
      <c r="C29" s="166">
        <f>3433.33+63745.256</f>
        <v>67178.586</v>
      </c>
      <c r="D29" s="166">
        <f>3789.994+73344.129</f>
        <v>77134.123</v>
      </c>
      <c r="E29" s="231">
        <f t="shared" si="0"/>
        <v>-0.06025824964131994</v>
      </c>
      <c r="F29" s="166">
        <f>15+640</f>
        <v>655</v>
      </c>
      <c r="G29" s="166">
        <f>13+684</f>
        <v>697</v>
      </c>
      <c r="H29" s="6" t="s">
        <v>82</v>
      </c>
      <c r="I29" s="3"/>
    </row>
    <row r="30" spans="1:9" ht="15.75">
      <c r="A30" s="12"/>
      <c r="B30" s="231">
        <f>(C30-D30)/D30</f>
        <v>-0.07509305863962706</v>
      </c>
      <c r="C30" s="166">
        <f>59281.914+31283.96</f>
        <v>90565.874</v>
      </c>
      <c r="D30" s="166">
        <f>9886.733+88032.171</f>
        <v>97918.90400000001</v>
      </c>
      <c r="E30" s="231">
        <f t="shared" si="0"/>
        <v>-0.11891117478510028</v>
      </c>
      <c r="F30" s="166">
        <f>392+223</f>
        <v>615</v>
      </c>
      <c r="G30" s="166">
        <f>71+627</f>
        <v>698</v>
      </c>
      <c r="H30" s="7" t="s">
        <v>83</v>
      </c>
      <c r="I30" s="3"/>
    </row>
    <row r="31" spans="1:9" s="17" customFormat="1" ht="15.75">
      <c r="A31" s="18"/>
      <c r="B31" s="232">
        <f>(C31-D31)/D31</f>
        <v>-0.08745148098709901</v>
      </c>
      <c r="C31" s="134">
        <f>SUM(C28:C30)</f>
        <v>233818.749</v>
      </c>
      <c r="D31" s="134">
        <f>SUM(D28:D30)</f>
        <v>256226.10100000002</v>
      </c>
      <c r="E31" s="232">
        <f t="shared" si="0"/>
        <v>-0.07022318998366903</v>
      </c>
      <c r="F31" s="134">
        <f>SUM(F28:F30)</f>
        <v>1708</v>
      </c>
      <c r="G31" s="134">
        <f>SUM(G28:G30)</f>
        <v>1837</v>
      </c>
      <c r="H31" s="81" t="s">
        <v>84</v>
      </c>
      <c r="I31" s="11"/>
    </row>
    <row r="32" spans="1:9" ht="15.75">
      <c r="A32" s="12"/>
      <c r="B32" s="231">
        <f aca="true" t="shared" si="2" ref="B32:B43">(C32-D32)/D32</f>
        <v>-0.4649673679033008</v>
      </c>
      <c r="C32" s="166">
        <f>4209.03+19299.741</f>
        <v>23508.771</v>
      </c>
      <c r="D32" s="166">
        <f>2881.671+41057.277</f>
        <v>43938.948000000004</v>
      </c>
      <c r="E32" s="231">
        <f aca="true" t="shared" si="3" ref="E32:E43">(F32-G32)/G32</f>
        <v>-0.36363636363636365</v>
      </c>
      <c r="F32" s="166">
        <f>5+51</f>
        <v>56</v>
      </c>
      <c r="G32" s="166">
        <f>3+85</f>
        <v>88</v>
      </c>
      <c r="H32" s="5" t="s">
        <v>85</v>
      </c>
      <c r="I32" s="3"/>
    </row>
    <row r="33" spans="1:9" ht="15.75">
      <c r="A33" s="12"/>
      <c r="B33" s="231">
        <f t="shared" si="2"/>
        <v>0.19475231449081054</v>
      </c>
      <c r="C33" s="166">
        <f>11240.383+19718.898</f>
        <v>30959.281000000003</v>
      </c>
      <c r="D33" s="166">
        <f>7615.5+18297.219</f>
        <v>25912.719</v>
      </c>
      <c r="E33" s="231">
        <f t="shared" si="3"/>
        <v>0.12173913043478261</v>
      </c>
      <c r="F33" s="166">
        <f>44+85</f>
        <v>129</v>
      </c>
      <c r="G33" s="166">
        <f>15+100</f>
        <v>115</v>
      </c>
      <c r="H33" s="6" t="s">
        <v>86</v>
      </c>
      <c r="I33" s="3"/>
    </row>
    <row r="34" spans="1:9" ht="15.75">
      <c r="A34" s="12"/>
      <c r="B34" s="231">
        <f t="shared" si="2"/>
        <v>0.17728029569928871</v>
      </c>
      <c r="C34" s="166">
        <f>49477.226+41313.957</f>
        <v>90791.183</v>
      </c>
      <c r="D34" s="166">
        <f>6715.747+70403.681</f>
        <v>77119.428</v>
      </c>
      <c r="E34" s="231">
        <f t="shared" si="3"/>
        <v>0.15413533834586465</v>
      </c>
      <c r="F34" s="166">
        <f>232+75</f>
        <v>307</v>
      </c>
      <c r="G34" s="166">
        <f>25+241</f>
        <v>266</v>
      </c>
      <c r="H34" s="6" t="s">
        <v>87</v>
      </c>
      <c r="I34" s="3"/>
    </row>
    <row r="35" spans="1:9" ht="15.75">
      <c r="A35" s="12"/>
      <c r="B35" s="231">
        <f t="shared" si="2"/>
        <v>0.7096985953339012</v>
      </c>
      <c r="C35" s="166">
        <f>16157.248+233004.321</f>
        <v>249161.569</v>
      </c>
      <c r="D35" s="166">
        <f>14632.059+131102.148</f>
        <v>145734.207</v>
      </c>
      <c r="E35" s="231">
        <f t="shared" si="3"/>
        <v>0.12474437627811862</v>
      </c>
      <c r="F35" s="166">
        <f>67+483</f>
        <v>550</v>
      </c>
      <c r="G35" s="166">
        <f>457+32</f>
        <v>489</v>
      </c>
      <c r="H35" s="7" t="s">
        <v>88</v>
      </c>
      <c r="I35" s="3"/>
    </row>
    <row r="36" spans="1:9" s="17" customFormat="1" ht="15.75">
      <c r="A36" s="18"/>
      <c r="B36" s="232">
        <f>(C36-D36)/D36</f>
        <v>0.34750139920594936</v>
      </c>
      <c r="C36" s="134">
        <f>SUM(C32:C35)</f>
        <v>394420.804</v>
      </c>
      <c r="D36" s="134">
        <f>SUM(D32:D35)</f>
        <v>292705.302</v>
      </c>
      <c r="E36" s="232">
        <f>(F36-G36)/G36</f>
        <v>0.08768267223382047</v>
      </c>
      <c r="F36" s="134">
        <f>SUM(F32:F35)</f>
        <v>1042</v>
      </c>
      <c r="G36" s="134">
        <f>SUM(G32:G35)</f>
        <v>958</v>
      </c>
      <c r="H36" s="81" t="s">
        <v>89</v>
      </c>
      <c r="I36" s="11"/>
    </row>
    <row r="37" spans="1:9" ht="15.75">
      <c r="A37" s="12"/>
      <c r="B37" s="231">
        <f t="shared" si="2"/>
        <v>-0.2884100103201118</v>
      </c>
      <c r="C37" s="166">
        <f>4496.073+29517.836</f>
        <v>34013.909</v>
      </c>
      <c r="D37" s="166">
        <f>936.548+46863.322</f>
        <v>47799.87</v>
      </c>
      <c r="E37" s="231">
        <f t="shared" si="3"/>
        <v>-0.29931972789115646</v>
      </c>
      <c r="F37" s="166">
        <f>6+303</f>
        <v>309</v>
      </c>
      <c r="G37" s="166">
        <f>3+438</f>
        <v>441</v>
      </c>
      <c r="H37" s="5" t="s">
        <v>90</v>
      </c>
      <c r="I37" s="3"/>
    </row>
    <row r="38" spans="1:9" ht="15.75">
      <c r="A38" s="12"/>
      <c r="B38" s="231">
        <f t="shared" si="2"/>
        <v>-0.21459414821104278</v>
      </c>
      <c r="C38" s="166">
        <f>0+7628.563</f>
        <v>7628.563</v>
      </c>
      <c r="D38" s="166">
        <f>0.4+9712.493</f>
        <v>9712.893</v>
      </c>
      <c r="E38" s="231">
        <f t="shared" si="3"/>
        <v>-0.11538461538461539</v>
      </c>
      <c r="F38" s="166">
        <f>0+92</f>
        <v>92</v>
      </c>
      <c r="G38" s="166">
        <f>1+103</f>
        <v>104</v>
      </c>
      <c r="H38" s="6" t="s">
        <v>91</v>
      </c>
      <c r="I38" s="3"/>
    </row>
    <row r="39" spans="1:9" ht="15.75">
      <c r="A39" s="12"/>
      <c r="B39" s="231">
        <f t="shared" si="2"/>
        <v>-0.4645716638825081</v>
      </c>
      <c r="C39" s="166">
        <f>0+9529.402</f>
        <v>9529.402</v>
      </c>
      <c r="D39" s="166">
        <f>300+17497.717</f>
        <v>17797.717</v>
      </c>
      <c r="E39" s="231">
        <f t="shared" si="3"/>
        <v>-0.20279720279720279</v>
      </c>
      <c r="F39" s="166">
        <f>0+114</f>
        <v>114</v>
      </c>
      <c r="G39" s="166">
        <f>1+142</f>
        <v>143</v>
      </c>
      <c r="H39" s="7" t="s">
        <v>92</v>
      </c>
      <c r="I39" s="3"/>
    </row>
    <row r="40" spans="1:9" s="17" customFormat="1" ht="15.75">
      <c r="A40" s="18" t="s">
        <v>0</v>
      </c>
      <c r="B40" s="232">
        <f>(C40-D40)/D40</f>
        <v>-0.3205212076725577</v>
      </c>
      <c r="C40" s="134">
        <f>SUM(C37:C39)</f>
        <v>51171.874</v>
      </c>
      <c r="D40" s="134">
        <f>SUM(D37:D39)</f>
        <v>75310.48000000001</v>
      </c>
      <c r="E40" s="232">
        <f>(F40-G40)/G40</f>
        <v>-0.251453488372093</v>
      </c>
      <c r="F40" s="134">
        <f>SUM(F37:F39)</f>
        <v>515</v>
      </c>
      <c r="G40" s="134">
        <f>SUM(G37:G39)</f>
        <v>688</v>
      </c>
      <c r="H40" s="81" t="s">
        <v>93</v>
      </c>
      <c r="I40" s="11"/>
    </row>
    <row r="41" spans="1:9" ht="15.75">
      <c r="A41" s="12"/>
      <c r="B41" s="231">
        <f t="shared" si="2"/>
        <v>0.04708038849599045</v>
      </c>
      <c r="C41" s="166">
        <f>3354.839+54965.634</f>
        <v>58320.473</v>
      </c>
      <c r="D41" s="166">
        <f>3405.211+52292.97</f>
        <v>55698.181000000004</v>
      </c>
      <c r="E41" s="231">
        <f t="shared" si="3"/>
        <v>-0.07751937984496124</v>
      </c>
      <c r="F41" s="166">
        <f>4+353</f>
        <v>357</v>
      </c>
      <c r="G41" s="166">
        <f>9+378</f>
        <v>387</v>
      </c>
      <c r="H41" s="5" t="s">
        <v>94</v>
      </c>
      <c r="I41" s="3"/>
    </row>
    <row r="42" spans="1:9" ht="15.75">
      <c r="A42" s="12"/>
      <c r="B42" s="231">
        <f t="shared" si="2"/>
        <v>0.32605808774030803</v>
      </c>
      <c r="C42" s="166">
        <f>2265+41989.396</f>
        <v>44254.396</v>
      </c>
      <c r="D42" s="166">
        <f>1858.246+31514.648</f>
        <v>33372.894</v>
      </c>
      <c r="E42" s="231">
        <f t="shared" si="3"/>
        <v>-0.22822822822822822</v>
      </c>
      <c r="F42" s="166">
        <f>3+254</f>
        <v>257</v>
      </c>
      <c r="G42" s="166">
        <f>7+326</f>
        <v>333</v>
      </c>
      <c r="H42" s="6" t="s">
        <v>95</v>
      </c>
      <c r="I42" s="3"/>
    </row>
    <row r="43" spans="1:9" ht="15.75">
      <c r="A43" s="12"/>
      <c r="B43" s="231">
        <f t="shared" si="2"/>
        <v>-0.5590138096259081</v>
      </c>
      <c r="C43" s="166">
        <f>507.806+11723.809</f>
        <v>12231.615</v>
      </c>
      <c r="D43" s="166">
        <f>8651.555+19085.402</f>
        <v>27736.957</v>
      </c>
      <c r="E43" s="231">
        <f t="shared" si="3"/>
        <v>-0.27044025157232704</v>
      </c>
      <c r="F43" s="166">
        <f>4+112</f>
        <v>116</v>
      </c>
      <c r="G43" s="166">
        <f>3+156</f>
        <v>159</v>
      </c>
      <c r="H43" s="7" t="s">
        <v>96</v>
      </c>
      <c r="I43" s="3"/>
    </row>
    <row r="44" spans="1:9" s="17" customFormat="1" ht="15.75">
      <c r="A44" s="18"/>
      <c r="B44" s="232">
        <f>(C44-D44)/D44</f>
        <v>-0.017135362746287817</v>
      </c>
      <c r="C44" s="134">
        <f>SUM(C41:C43)</f>
        <v>114806.48400000001</v>
      </c>
      <c r="D44" s="134">
        <f>SUM(D41:D43)</f>
        <v>116808.032</v>
      </c>
      <c r="E44" s="232">
        <f>(F44-G44)/G44</f>
        <v>-0.1695108077360637</v>
      </c>
      <c r="F44" s="134">
        <f>SUM(F41:F43)</f>
        <v>730</v>
      </c>
      <c r="G44" s="134">
        <f>SUM(G41:G43)</f>
        <v>879</v>
      </c>
      <c r="H44" s="82" t="s">
        <v>97</v>
      </c>
      <c r="I44" s="11"/>
    </row>
    <row r="45" spans="1:9" s="15" customFormat="1" ht="20.25" customHeight="1">
      <c r="A45" s="16" t="s">
        <v>0</v>
      </c>
      <c r="B45" s="232">
        <f>(C45-D45)/D45</f>
        <v>0.005025505670220402</v>
      </c>
      <c r="C45" s="134">
        <f>C44+C40+C36+C31+C27+C22</f>
        <v>1315159.2340000002</v>
      </c>
      <c r="D45" s="134">
        <f>D44+D40+D36+D31+D27+D22</f>
        <v>1308582.943</v>
      </c>
      <c r="E45" s="232">
        <f>(F45-G45)/G45</f>
        <v>-0.024759903961584635</v>
      </c>
      <c r="F45" s="134">
        <f>F44+F40+F36+F31+F27+F22</f>
        <v>6499</v>
      </c>
      <c r="G45" s="134">
        <f>G44+G40+G36+G31+G27+G22</f>
        <v>6664</v>
      </c>
      <c r="H45" s="8" t="s">
        <v>20</v>
      </c>
      <c r="I45" s="63"/>
    </row>
    <row r="46" spans="1:9" ht="41.25" customHeight="1">
      <c r="A46" s="3"/>
      <c r="B46" s="3"/>
      <c r="C46" s="3"/>
      <c r="D46" s="3"/>
      <c r="E46" s="3"/>
      <c r="F46" s="3"/>
      <c r="G46" s="3"/>
      <c r="H46" s="3"/>
      <c r="I46" s="3"/>
    </row>
    <row r="47" ht="12" customHeight="1">
      <c r="I47" s="3"/>
    </row>
  </sheetData>
  <sheetProtection/>
  <mergeCells count="7">
    <mergeCell ref="G4:H4"/>
    <mergeCell ref="B8:H8"/>
    <mergeCell ref="H13:H14"/>
    <mergeCell ref="B6:H6"/>
    <mergeCell ref="B7:H7"/>
    <mergeCell ref="B12:C12"/>
    <mergeCell ref="B10:H10"/>
  </mergeCells>
  <printOptions horizontalCentered="1" verticalCentered="1"/>
  <pageMargins left="0.1968503937007874" right="0.3937007874015748" top="0.2362204724409449" bottom="0.2362204724409449" header="0.11811023622047245" footer="0.4724409448818898"/>
  <pageSetup fitToHeight="1" fitToWidth="1" horizontalDpi="600" verticalDpi="600" orientation="portrait" paperSize="9" scale="99" r:id="rId2"/>
  <headerFooter alignWithMargins="0">
    <oddFooter>&amp;C- 6 -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view="pageBreakPreview" zoomScale="110" zoomScaleSheetLayoutView="110" zoomScalePageLayoutView="0" workbookViewId="0" topLeftCell="A7">
      <selection activeCell="K33" sqref="K33"/>
    </sheetView>
  </sheetViews>
  <sheetFormatPr defaultColWidth="9.140625" defaultRowHeight="13.5" customHeight="1"/>
  <cols>
    <col min="1" max="1" width="1.421875" style="24" bestFit="1" customWidth="1"/>
    <col min="2" max="3" width="12.00390625" style="24" bestFit="1" customWidth="1"/>
    <col min="4" max="4" width="10.8515625" style="24" bestFit="1" customWidth="1"/>
    <col min="5" max="5" width="11.28125" style="24" customWidth="1"/>
    <col min="6" max="7" width="10.7109375" style="24" customWidth="1"/>
    <col min="8" max="8" width="11.28125" style="24" bestFit="1" customWidth="1"/>
    <col min="9" max="9" width="11.28125" style="24" customWidth="1"/>
    <col min="10" max="10" width="10.8515625" style="24" customWidth="1"/>
    <col min="11" max="11" width="10.8515625" style="24" bestFit="1" customWidth="1"/>
    <col min="12" max="12" width="12.140625" style="24" bestFit="1" customWidth="1"/>
    <col min="13" max="13" width="11.28125" style="24" bestFit="1" customWidth="1"/>
    <col min="14" max="14" width="13.421875" style="24" customWidth="1"/>
    <col min="15" max="15" width="3.28125" style="24" customWidth="1"/>
    <col min="16" max="16" width="7.140625" style="24" bestFit="1" customWidth="1"/>
    <col min="17" max="16384" width="9.140625" style="24" customWidth="1"/>
  </cols>
  <sheetData>
    <row r="1" spans="4:16" ht="9.75" customHeight="1">
      <c r="D1" s="26"/>
      <c r="E1" s="26"/>
      <c r="F1" s="26"/>
      <c r="G1" s="26"/>
      <c r="H1" s="26"/>
      <c r="I1" s="26"/>
      <c r="J1" s="26"/>
      <c r="L1" s="27"/>
      <c r="M1" s="27"/>
      <c r="N1" s="27"/>
      <c r="O1" s="34"/>
      <c r="P1" s="26"/>
    </row>
    <row r="2" spans="1:16" ht="16.5" customHeight="1">
      <c r="A2" s="305" t="s">
        <v>54</v>
      </c>
      <c r="B2" s="278"/>
      <c r="C2" s="278"/>
      <c r="D2" s="26"/>
      <c r="E2" s="26"/>
      <c r="F2" s="26"/>
      <c r="G2" s="26"/>
      <c r="H2" s="26"/>
      <c r="I2" s="26"/>
      <c r="J2" s="26"/>
      <c r="K2" s="27"/>
      <c r="L2" s="27"/>
      <c r="M2" s="308" t="s">
        <v>16</v>
      </c>
      <c r="N2" s="308"/>
      <c r="O2" s="34"/>
      <c r="P2" s="26"/>
    </row>
    <row r="3" spans="1:16" ht="13.5" customHeight="1">
      <c r="A3" s="305" t="s">
        <v>21</v>
      </c>
      <c r="B3" s="278"/>
      <c r="C3" s="278"/>
      <c r="D3" s="26"/>
      <c r="E3" s="26"/>
      <c r="F3" s="26"/>
      <c r="G3" s="26"/>
      <c r="H3" s="26"/>
      <c r="I3" s="26"/>
      <c r="J3" s="26"/>
      <c r="L3" s="308" t="s">
        <v>130</v>
      </c>
      <c r="M3" s="308"/>
      <c r="N3" s="308"/>
      <c r="O3" s="84"/>
      <c r="P3" s="26"/>
    </row>
    <row r="4" spans="1:16" ht="8.25" customHeight="1">
      <c r="A4" s="25"/>
      <c r="B4" s="35"/>
      <c r="C4" s="26"/>
      <c r="D4" s="26"/>
      <c r="E4" s="26"/>
      <c r="F4" s="26"/>
      <c r="G4" s="26"/>
      <c r="H4" s="26"/>
      <c r="I4" s="26"/>
      <c r="J4" s="26"/>
      <c r="K4" s="27"/>
      <c r="L4" s="27"/>
      <c r="M4" s="27"/>
      <c r="N4" s="27"/>
      <c r="O4" s="36"/>
      <c r="P4" s="26"/>
    </row>
    <row r="5" spans="1:23" ht="22.5">
      <c r="A5" s="25"/>
      <c r="B5" s="282" t="s">
        <v>111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41"/>
      <c r="P5" s="41"/>
      <c r="Q5" s="41"/>
      <c r="R5" s="41"/>
      <c r="S5" s="41"/>
      <c r="T5" s="41"/>
      <c r="U5" s="41"/>
      <c r="V5" s="41"/>
      <c r="W5" s="41"/>
    </row>
    <row r="6" spans="1:16" ht="22.5">
      <c r="A6" s="25"/>
      <c r="B6" s="266" t="s">
        <v>63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53"/>
      <c r="P6" s="31"/>
    </row>
    <row r="7" spans="1:16" ht="22.5">
      <c r="A7" s="25"/>
      <c r="B7" s="266" t="s">
        <v>141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54"/>
      <c r="P7" s="33"/>
    </row>
    <row r="8" spans="1:16" ht="13.5" customHeight="1">
      <c r="A8" s="25"/>
      <c r="B8" s="277" t="s">
        <v>143</v>
      </c>
      <c r="C8" s="277"/>
      <c r="M8" s="289" t="s">
        <v>67</v>
      </c>
      <c r="N8" s="289"/>
      <c r="O8" s="53"/>
      <c r="P8" s="31"/>
    </row>
    <row r="9" spans="1:16" ht="13.5" customHeight="1">
      <c r="A9" s="25"/>
      <c r="B9" s="311" t="s">
        <v>50</v>
      </c>
      <c r="C9" s="312"/>
      <c r="D9" s="297" t="s">
        <v>129</v>
      </c>
      <c r="E9" s="298"/>
      <c r="F9" s="301" t="s">
        <v>128</v>
      </c>
      <c r="G9" s="302"/>
      <c r="H9" s="301" t="s">
        <v>127</v>
      </c>
      <c r="I9" s="302"/>
      <c r="J9" s="297" t="s">
        <v>126</v>
      </c>
      <c r="K9" s="298"/>
      <c r="L9" s="301" t="s">
        <v>125</v>
      </c>
      <c r="M9" s="302"/>
      <c r="N9" s="294" t="s">
        <v>19</v>
      </c>
      <c r="O9" s="34"/>
      <c r="P9" s="27"/>
    </row>
    <row r="10" spans="1:16" ht="11.25" customHeight="1">
      <c r="A10" s="25"/>
      <c r="B10" s="303"/>
      <c r="C10" s="304"/>
      <c r="D10" s="299"/>
      <c r="E10" s="300"/>
      <c r="F10" s="309"/>
      <c r="G10" s="310"/>
      <c r="H10" s="303"/>
      <c r="I10" s="304"/>
      <c r="J10" s="306"/>
      <c r="K10" s="307"/>
      <c r="L10" s="303"/>
      <c r="M10" s="304"/>
      <c r="N10" s="295"/>
      <c r="O10" s="34"/>
      <c r="P10" s="27"/>
    </row>
    <row r="11" spans="1:16" ht="11.25" customHeight="1">
      <c r="A11" s="25"/>
      <c r="B11" s="98">
        <v>2021</v>
      </c>
      <c r="C11" s="8">
        <v>2020</v>
      </c>
      <c r="D11" s="98">
        <v>2022</v>
      </c>
      <c r="E11" s="8">
        <v>2021</v>
      </c>
      <c r="F11" s="98">
        <v>2022</v>
      </c>
      <c r="G11" s="8">
        <v>2021</v>
      </c>
      <c r="H11" s="98">
        <v>2022</v>
      </c>
      <c r="I11" s="8">
        <v>2021</v>
      </c>
      <c r="J11" s="98">
        <v>2022</v>
      </c>
      <c r="K11" s="8">
        <v>2021</v>
      </c>
      <c r="L11" s="98">
        <v>2022</v>
      </c>
      <c r="M11" s="8">
        <v>2021</v>
      </c>
      <c r="N11" s="296"/>
      <c r="O11" s="55"/>
      <c r="P11" s="46"/>
    </row>
    <row r="12" spans="1:16" ht="12" customHeight="1">
      <c r="A12" s="25"/>
      <c r="B12" s="141">
        <f>'P6'!C15</f>
        <v>9084.642</v>
      </c>
      <c r="C12" s="141">
        <f>'P6'!D15</f>
        <v>6327.616</v>
      </c>
      <c r="D12" s="141">
        <v>0</v>
      </c>
      <c r="E12" s="141">
        <v>0</v>
      </c>
      <c r="F12" s="141">
        <f>364.466+4259.519</f>
        <v>4623.985000000001</v>
      </c>
      <c r="G12" s="141">
        <v>3454.771</v>
      </c>
      <c r="H12" s="141">
        <v>0</v>
      </c>
      <c r="I12" s="141">
        <v>0</v>
      </c>
      <c r="J12" s="141">
        <f>991+1229.657</f>
        <v>2220.657</v>
      </c>
      <c r="K12" s="141">
        <f>2264.845</f>
        <v>2264.845</v>
      </c>
      <c r="L12" s="141">
        <f aca="true" t="shared" si="0" ref="L12:L18">B12-D12-F12-H12-J12</f>
        <v>2239.999999999999</v>
      </c>
      <c r="M12" s="141">
        <f>C12-K12-I12-G12-E12</f>
        <v>608</v>
      </c>
      <c r="N12" s="89" t="s">
        <v>68</v>
      </c>
      <c r="O12" s="56"/>
      <c r="P12" s="57"/>
    </row>
    <row r="13" spans="1:16" ht="12" customHeight="1">
      <c r="A13" s="25" t="s">
        <v>0</v>
      </c>
      <c r="B13" s="141">
        <f>'P6'!C16</f>
        <v>7768.615</v>
      </c>
      <c r="C13" s="141">
        <f>'P6'!D16</f>
        <v>9711.522</v>
      </c>
      <c r="D13" s="141">
        <f>0+545</f>
        <v>545</v>
      </c>
      <c r="E13" s="141">
        <f>80+850</f>
        <v>930</v>
      </c>
      <c r="F13" s="141">
        <f>460.51+1598.102</f>
        <v>2058.612</v>
      </c>
      <c r="G13" s="141">
        <v>1185.781</v>
      </c>
      <c r="H13" s="141">
        <v>0</v>
      </c>
      <c r="I13" s="141">
        <v>0</v>
      </c>
      <c r="J13" s="141">
        <f>0+196.1</f>
        <v>196.1</v>
      </c>
      <c r="K13" s="141">
        <v>196.929</v>
      </c>
      <c r="L13" s="141">
        <f t="shared" si="0"/>
        <v>4968.902999999999</v>
      </c>
      <c r="M13" s="141">
        <f aca="true" t="shared" si="1" ref="M13:M18">C13-K13-I13-G13-E13</f>
        <v>7398.812000000002</v>
      </c>
      <c r="N13" s="89" t="s">
        <v>69</v>
      </c>
      <c r="O13" s="56"/>
      <c r="P13" s="57"/>
    </row>
    <row r="14" spans="1:16" ht="12" customHeight="1">
      <c r="A14" s="25"/>
      <c r="B14" s="141">
        <f>'P6'!C17</f>
        <v>39687.739</v>
      </c>
      <c r="C14" s="141">
        <f>'P6'!D17</f>
        <v>41587.65</v>
      </c>
      <c r="D14" s="141">
        <f>0+5725.894</f>
        <v>5725.894</v>
      </c>
      <c r="E14" s="141">
        <f>600+7975.395</f>
        <v>8575.395</v>
      </c>
      <c r="F14" s="141">
        <f>1638.4+1131.213</f>
        <v>2769.6130000000003</v>
      </c>
      <c r="G14" s="141">
        <f>33.25+903.95</f>
        <v>937.2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0"/>
        <v>31192.232</v>
      </c>
      <c r="M14" s="141">
        <f t="shared" si="1"/>
        <v>32075.055000000004</v>
      </c>
      <c r="N14" s="89" t="s">
        <v>70</v>
      </c>
      <c r="O14" s="56"/>
      <c r="P14" s="57"/>
    </row>
    <row r="15" spans="1:16" ht="12" customHeight="1">
      <c r="A15" s="25"/>
      <c r="B15" s="141">
        <f>'P6'!C18</f>
        <v>88022.35399999999</v>
      </c>
      <c r="C15" s="141">
        <f>'P6'!D18</f>
        <v>104712.083</v>
      </c>
      <c r="D15" s="141">
        <f>2998.85+7560.003</f>
        <v>10558.853</v>
      </c>
      <c r="E15" s="141">
        <f>6116.35+22754.322</f>
        <v>28870.672</v>
      </c>
      <c r="F15" s="141">
        <f>330+5592.931</f>
        <v>5922.931</v>
      </c>
      <c r="G15" s="141">
        <f>51.36+5921.442</f>
        <v>5972.802</v>
      </c>
      <c r="H15" s="141">
        <f>0+67.98</f>
        <v>67.98</v>
      </c>
      <c r="I15" s="141">
        <v>133.427</v>
      </c>
      <c r="J15" s="141">
        <f>15.137+2293.17</f>
        <v>2308.3070000000002</v>
      </c>
      <c r="K15" s="141">
        <v>6745.557</v>
      </c>
      <c r="L15" s="141">
        <f t="shared" si="0"/>
        <v>69164.283</v>
      </c>
      <c r="M15" s="141">
        <f t="shared" si="1"/>
        <v>62989.62500000001</v>
      </c>
      <c r="N15" s="89" t="s">
        <v>71</v>
      </c>
      <c r="O15" s="56"/>
      <c r="P15" s="57"/>
    </row>
    <row r="16" spans="1:16" ht="12" customHeight="1">
      <c r="A16" s="25"/>
      <c r="B16" s="141">
        <f>'P6'!C19</f>
        <v>53458.856</v>
      </c>
      <c r="C16" s="141">
        <f>'P6'!D19</f>
        <v>67835.425</v>
      </c>
      <c r="D16" s="141">
        <f>30+135.66</f>
        <v>165.66</v>
      </c>
      <c r="E16" s="141">
        <f>2910+12154.79</f>
        <v>15064.79</v>
      </c>
      <c r="F16" s="141">
        <f>136+110.959</f>
        <v>246.959</v>
      </c>
      <c r="G16" s="141">
        <f>1.526+832.758</f>
        <v>834.284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0"/>
        <v>53046.236999999994</v>
      </c>
      <c r="M16" s="141">
        <f t="shared" si="1"/>
        <v>51936.351</v>
      </c>
      <c r="N16" s="89" t="s">
        <v>72</v>
      </c>
      <c r="O16" s="56"/>
      <c r="P16" s="57"/>
    </row>
    <row r="17" spans="1:16" ht="12" customHeight="1">
      <c r="A17" s="25"/>
      <c r="B17" s="141">
        <f>'P6'!C20</f>
        <v>65073.488</v>
      </c>
      <c r="C17" s="141">
        <f>'P6'!D20</f>
        <v>63833.823</v>
      </c>
      <c r="D17" s="141">
        <f>0+264.6</f>
        <v>264.6</v>
      </c>
      <c r="E17" s="141">
        <v>409.88</v>
      </c>
      <c r="F17" s="141">
        <f>2997.87+7153.708</f>
        <v>10151.578</v>
      </c>
      <c r="G17" s="141">
        <f>3.723+4981.806</f>
        <v>4985.5289999999995</v>
      </c>
      <c r="H17" s="141">
        <f>0+4339.361</f>
        <v>4339.361</v>
      </c>
      <c r="I17" s="141">
        <v>2042.483</v>
      </c>
      <c r="J17" s="141">
        <f>68.75+5911.754</f>
        <v>5980.504</v>
      </c>
      <c r="K17" s="141">
        <v>8089.334</v>
      </c>
      <c r="L17" s="141">
        <f t="shared" si="0"/>
        <v>44337.445</v>
      </c>
      <c r="M17" s="141">
        <f t="shared" si="1"/>
        <v>48306.596999999994</v>
      </c>
      <c r="N17" s="89" t="s">
        <v>73</v>
      </c>
      <c r="O17" s="56"/>
      <c r="P17" s="57"/>
    </row>
    <row r="18" spans="1:16" ht="12" customHeight="1">
      <c r="A18" s="25"/>
      <c r="B18" s="141">
        <f>'P6'!C21</f>
        <v>55466.559</v>
      </c>
      <c r="C18" s="141">
        <f>'P6'!D21</f>
        <v>48164.026999999995</v>
      </c>
      <c r="D18" s="141">
        <f>435+2500</f>
        <v>2935</v>
      </c>
      <c r="E18" s="141">
        <v>1226</v>
      </c>
      <c r="F18" s="141">
        <f>612.883+1349.456</f>
        <v>1962.339</v>
      </c>
      <c r="G18" s="141">
        <v>2301.276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0"/>
        <v>50569.22</v>
      </c>
      <c r="M18" s="141">
        <f t="shared" si="1"/>
        <v>44636.751</v>
      </c>
      <c r="N18" s="89" t="s">
        <v>74</v>
      </c>
      <c r="O18" s="56"/>
      <c r="P18" s="57"/>
    </row>
    <row r="19" spans="1:16" s="49" customFormat="1" ht="12" customHeight="1">
      <c r="A19" s="47"/>
      <c r="B19" s="142">
        <f aca="true" t="shared" si="2" ref="B19:M19">SUM(B12:B18)</f>
        <v>318562.25299999997</v>
      </c>
      <c r="C19" s="142">
        <f t="shared" si="2"/>
        <v>342172.14599999995</v>
      </c>
      <c r="D19" s="142">
        <f t="shared" si="2"/>
        <v>20195.006999999998</v>
      </c>
      <c r="E19" s="142">
        <f>SUM(E12:E18)</f>
        <v>55076.736999999994</v>
      </c>
      <c r="F19" s="142">
        <f t="shared" si="2"/>
        <v>27736.017</v>
      </c>
      <c r="G19" s="142">
        <f>SUM(G12:G18)</f>
        <v>19671.642999999996</v>
      </c>
      <c r="H19" s="142">
        <f t="shared" si="2"/>
        <v>4407.340999999999</v>
      </c>
      <c r="I19" s="142">
        <f>SUM(I12:I18)</f>
        <v>2175.91</v>
      </c>
      <c r="J19" s="142">
        <f t="shared" si="2"/>
        <v>10705.568</v>
      </c>
      <c r="K19" s="142">
        <f>SUM(K12:K18)</f>
        <v>17296.665</v>
      </c>
      <c r="L19" s="142">
        <f t="shared" si="2"/>
        <v>255518.31999999998</v>
      </c>
      <c r="M19" s="142">
        <f t="shared" si="2"/>
        <v>247951.191</v>
      </c>
      <c r="N19" s="48" t="s">
        <v>75</v>
      </c>
      <c r="O19" s="58"/>
      <c r="P19" s="57"/>
    </row>
    <row r="20" spans="1:16" ht="12" customHeight="1">
      <c r="A20" s="25"/>
      <c r="B20" s="141">
        <f>'P6'!C23</f>
        <v>80897.013</v>
      </c>
      <c r="C20" s="141">
        <f>'P6'!D23</f>
        <v>79576.579</v>
      </c>
      <c r="D20" s="141">
        <f>1351.3+3357.556</f>
        <v>4708.856</v>
      </c>
      <c r="E20" s="141">
        <v>3384.21</v>
      </c>
      <c r="F20" s="141">
        <f>2679.03+9201.944</f>
        <v>11880.974</v>
      </c>
      <c r="G20" s="141">
        <f>14.96+23119.85</f>
        <v>23134.809999999998</v>
      </c>
      <c r="H20" s="141">
        <v>0</v>
      </c>
      <c r="I20" s="141">
        <v>0</v>
      </c>
      <c r="J20" s="141">
        <v>0</v>
      </c>
      <c r="K20" s="141">
        <v>0</v>
      </c>
      <c r="L20" s="141">
        <f>B20-D20-F20-H20-J20</f>
        <v>64307.183000000005</v>
      </c>
      <c r="M20" s="141">
        <f>C20-K20-I20-G20-E20</f>
        <v>53057.559</v>
      </c>
      <c r="N20" s="89" t="s">
        <v>76</v>
      </c>
      <c r="O20" s="56"/>
      <c r="P20" s="57"/>
    </row>
    <row r="21" spans="1:16" ht="12" customHeight="1">
      <c r="A21" s="25"/>
      <c r="B21" s="141">
        <f>'P6'!C24</f>
        <v>41671.099</v>
      </c>
      <c r="C21" s="141">
        <f>'P6'!D24</f>
        <v>42354.235</v>
      </c>
      <c r="D21" s="141">
        <f>0.113+84.133</f>
        <v>84.246</v>
      </c>
      <c r="E21" s="141">
        <v>1172.75</v>
      </c>
      <c r="F21" s="141">
        <f>0+14195.384</f>
        <v>14195.384</v>
      </c>
      <c r="G21" s="141">
        <v>8806.674</v>
      </c>
      <c r="H21" s="141">
        <v>0</v>
      </c>
      <c r="I21" s="141">
        <v>0</v>
      </c>
      <c r="J21" s="141">
        <f>0+1166.602</f>
        <v>1166.602</v>
      </c>
      <c r="K21" s="141">
        <v>1506.913</v>
      </c>
      <c r="L21" s="141">
        <f>B21-D21-F21-H21-J21</f>
        <v>26224.867000000006</v>
      </c>
      <c r="M21" s="141">
        <f>C21-K21-I21-G21-E21</f>
        <v>30867.898</v>
      </c>
      <c r="N21" s="89" t="s">
        <v>77</v>
      </c>
      <c r="O21" s="56"/>
      <c r="P21" s="57"/>
    </row>
    <row r="22" spans="1:16" ht="12" customHeight="1">
      <c r="A22" s="25"/>
      <c r="B22" s="141">
        <f>'P6'!C25</f>
        <v>38954.692</v>
      </c>
      <c r="C22" s="141">
        <f>'P6'!D25</f>
        <v>44203.702</v>
      </c>
      <c r="D22" s="141">
        <f>0+1068</f>
        <v>1068</v>
      </c>
      <c r="E22" s="141">
        <v>0</v>
      </c>
      <c r="F22" s="141">
        <f>144.026+4720.918</f>
        <v>4864.9439999999995</v>
      </c>
      <c r="G22" s="141">
        <f>65+6543.602</f>
        <v>6608.602</v>
      </c>
      <c r="H22" s="141">
        <v>0</v>
      </c>
      <c r="I22" s="141">
        <v>0</v>
      </c>
      <c r="J22" s="141">
        <v>0</v>
      </c>
      <c r="K22" s="141">
        <v>0</v>
      </c>
      <c r="L22" s="141">
        <f>B22-D22-F22-H22-J22</f>
        <v>33021.74800000001</v>
      </c>
      <c r="M22" s="141">
        <f>C22-K22-I22-G22-E22</f>
        <v>37595.1</v>
      </c>
      <c r="N22" s="89" t="s">
        <v>78</v>
      </c>
      <c r="O22" s="56"/>
      <c r="P22" s="57"/>
    </row>
    <row r="23" spans="1:16" ht="12" customHeight="1">
      <c r="A23" s="25"/>
      <c r="B23" s="141">
        <f>'P6'!C26</f>
        <v>40856.266</v>
      </c>
      <c r="C23" s="141">
        <f>'P6'!D26</f>
        <v>59226.366</v>
      </c>
      <c r="D23" s="141">
        <f>0+1477.763</f>
        <v>1477.763</v>
      </c>
      <c r="E23" s="141">
        <v>3840</v>
      </c>
      <c r="F23" s="141">
        <f>923.892+4657.502</f>
        <v>5581.394</v>
      </c>
      <c r="G23" s="141">
        <f>170+20142.64</f>
        <v>20312.64</v>
      </c>
      <c r="H23" s="141">
        <v>0</v>
      </c>
      <c r="I23" s="141">
        <v>0</v>
      </c>
      <c r="J23" s="141">
        <v>0</v>
      </c>
      <c r="K23" s="141">
        <v>0</v>
      </c>
      <c r="L23" s="141">
        <f>B23-D23-F23-H23-J23</f>
        <v>33797.109000000004</v>
      </c>
      <c r="M23" s="141">
        <f>C23-K23-I23-G23-E23</f>
        <v>35073.726</v>
      </c>
      <c r="N23" s="89" t="s">
        <v>79</v>
      </c>
      <c r="O23" s="56"/>
      <c r="P23" s="57"/>
    </row>
    <row r="24" spans="1:16" s="49" customFormat="1" ht="12" customHeight="1">
      <c r="A24" s="47"/>
      <c r="B24" s="142">
        <f aca="true" t="shared" si="3" ref="B24:M24">SUM(B20:B23)</f>
        <v>202379.07</v>
      </c>
      <c r="C24" s="142">
        <f t="shared" si="3"/>
        <v>225360.882</v>
      </c>
      <c r="D24" s="142">
        <f>SUM(D20:D23)</f>
        <v>7338.865</v>
      </c>
      <c r="E24" s="142">
        <f>SUM(E20:E23)</f>
        <v>8396.96</v>
      </c>
      <c r="F24" s="142">
        <f t="shared" si="3"/>
        <v>36522.695999999996</v>
      </c>
      <c r="G24" s="142">
        <f t="shared" si="3"/>
        <v>58862.725999999995</v>
      </c>
      <c r="H24" s="142">
        <f t="shared" si="3"/>
        <v>0</v>
      </c>
      <c r="I24" s="142">
        <f>SUM(I20:I23)</f>
        <v>0</v>
      </c>
      <c r="J24" s="142">
        <f>SUM(J20:J23)</f>
        <v>1166.602</v>
      </c>
      <c r="K24" s="142">
        <f>SUM(K20:K23)</f>
        <v>1506.913</v>
      </c>
      <c r="L24" s="142">
        <f t="shared" si="3"/>
        <v>157350.90700000004</v>
      </c>
      <c r="M24" s="142">
        <f t="shared" si="3"/>
        <v>156594.283</v>
      </c>
      <c r="N24" s="48" t="s">
        <v>80</v>
      </c>
      <c r="O24" s="58"/>
      <c r="P24" s="57"/>
    </row>
    <row r="25" spans="1:16" ht="12" customHeight="1">
      <c r="A25" s="25"/>
      <c r="B25" s="141">
        <f>'P6'!C28</f>
        <v>76074.28899999999</v>
      </c>
      <c r="C25" s="141">
        <f>'P6'!D28</f>
        <v>81173.07400000001</v>
      </c>
      <c r="D25" s="141">
        <f>4724</f>
        <v>4724</v>
      </c>
      <c r="E25" s="141">
        <f>8117.5+17396.508</f>
        <v>25514.008</v>
      </c>
      <c r="F25" s="141">
        <f>4325+5804.781</f>
        <v>10129.780999999999</v>
      </c>
      <c r="G25" s="141">
        <f>169.658+10262.146</f>
        <v>10431.804</v>
      </c>
      <c r="H25" s="141">
        <v>0</v>
      </c>
      <c r="I25" s="141">
        <v>0</v>
      </c>
      <c r="J25" s="141">
        <v>0</v>
      </c>
      <c r="K25" s="141">
        <v>0</v>
      </c>
      <c r="L25" s="141">
        <f>B25-D25-F25-H25-J25</f>
        <v>61220.50799999999</v>
      </c>
      <c r="M25" s="141">
        <f>C25-K25-I25-G25-E25</f>
        <v>45227.262</v>
      </c>
      <c r="N25" s="89" t="s">
        <v>81</v>
      </c>
      <c r="O25" s="56"/>
      <c r="P25" s="57"/>
    </row>
    <row r="26" spans="1:16" ht="12" customHeight="1">
      <c r="A26" s="25"/>
      <c r="B26" s="141">
        <f>'P6'!C29</f>
        <v>67178.586</v>
      </c>
      <c r="C26" s="141">
        <f>'P6'!D29</f>
        <v>77134.123</v>
      </c>
      <c r="D26" s="141">
        <f>0+2126.998</f>
        <v>2126.998</v>
      </c>
      <c r="E26" s="141">
        <v>5211.176</v>
      </c>
      <c r="F26" s="141">
        <f>116.5+1136.053</f>
        <v>1252.553</v>
      </c>
      <c r="G26" s="141">
        <f>5+1807.216</f>
        <v>1812.216</v>
      </c>
      <c r="H26" s="141">
        <v>0</v>
      </c>
      <c r="I26" s="141">
        <v>0</v>
      </c>
      <c r="J26" s="141">
        <v>0</v>
      </c>
      <c r="K26" s="141">
        <v>0</v>
      </c>
      <c r="L26" s="141">
        <f>B26-D26-F26-H26-J26</f>
        <v>63799.034999999996</v>
      </c>
      <c r="M26" s="141">
        <f>C26-K26-I26-G26-E26</f>
        <v>70110.731</v>
      </c>
      <c r="N26" s="89" t="s">
        <v>82</v>
      </c>
      <c r="O26" s="56"/>
      <c r="P26" s="57"/>
    </row>
    <row r="27" spans="1:16" ht="12" customHeight="1">
      <c r="A27" s="25"/>
      <c r="B27" s="141">
        <f>'P6'!C30</f>
        <v>90565.874</v>
      </c>
      <c r="C27" s="141">
        <f>'P6'!D30</f>
        <v>97918.90400000001</v>
      </c>
      <c r="D27" s="141">
        <f>5314.236+331.2</f>
        <v>5645.436</v>
      </c>
      <c r="E27" s="141">
        <f>750+503.669</f>
        <v>1253.6689999999999</v>
      </c>
      <c r="F27" s="141">
        <f>8472.322+5428.414</f>
        <v>13900.736</v>
      </c>
      <c r="G27" s="141">
        <f>95.12+5645.862</f>
        <v>5740.982</v>
      </c>
      <c r="H27" s="141">
        <v>0</v>
      </c>
      <c r="I27" s="141">
        <v>139.589</v>
      </c>
      <c r="J27" s="141">
        <v>0</v>
      </c>
      <c r="K27" s="141">
        <v>0</v>
      </c>
      <c r="L27" s="141">
        <f>B27-D27-F27-H27-J27</f>
        <v>71019.70199999999</v>
      </c>
      <c r="M27" s="141">
        <f>C27-K27-I27-G27-E27</f>
        <v>90784.664</v>
      </c>
      <c r="N27" s="89" t="s">
        <v>83</v>
      </c>
      <c r="O27" s="56"/>
      <c r="P27" s="57"/>
    </row>
    <row r="28" spans="1:16" s="49" customFormat="1" ht="12" customHeight="1">
      <c r="A28" s="47"/>
      <c r="B28" s="142">
        <f aca="true" t="shared" si="4" ref="B28:M28">SUM(B25:B27)</f>
        <v>233818.749</v>
      </c>
      <c r="C28" s="142">
        <f t="shared" si="4"/>
        <v>256226.10100000002</v>
      </c>
      <c r="D28" s="142">
        <f t="shared" si="4"/>
        <v>12496.434</v>
      </c>
      <c r="E28" s="142">
        <f>SUM(E25:E27)</f>
        <v>31978.853000000003</v>
      </c>
      <c r="F28" s="142">
        <f t="shared" si="4"/>
        <v>25283.07</v>
      </c>
      <c r="G28" s="142">
        <f>SUM(G25:G27)</f>
        <v>17985.002</v>
      </c>
      <c r="H28" s="142">
        <f t="shared" si="4"/>
        <v>0</v>
      </c>
      <c r="I28" s="142">
        <f>SUM(I25:I27)</f>
        <v>139.589</v>
      </c>
      <c r="J28" s="142">
        <f t="shared" si="4"/>
        <v>0</v>
      </c>
      <c r="K28" s="142">
        <f>SUM(K25:K27)</f>
        <v>0</v>
      </c>
      <c r="L28" s="142">
        <f>SUM(L25:L27)</f>
        <v>196039.24499999997</v>
      </c>
      <c r="M28" s="142">
        <f t="shared" si="4"/>
        <v>206122.657</v>
      </c>
      <c r="N28" s="48" t="s">
        <v>84</v>
      </c>
      <c r="O28" s="58"/>
      <c r="P28" s="57"/>
    </row>
    <row r="29" spans="1:16" ht="12" customHeight="1">
      <c r="A29" s="25"/>
      <c r="B29" s="141">
        <f>'P6'!C32</f>
        <v>23508.771</v>
      </c>
      <c r="C29" s="141">
        <f>'P6'!D32</f>
        <v>43938.948000000004</v>
      </c>
      <c r="D29" s="141">
        <f>0+5868.365</f>
        <v>5868.365</v>
      </c>
      <c r="E29" s="141">
        <f>2800+9542.987</f>
        <v>12342.987</v>
      </c>
      <c r="F29" s="141">
        <f>84.73+1348.004</f>
        <v>1432.734</v>
      </c>
      <c r="G29" s="141">
        <f>81.671+2970.368</f>
        <v>3052.0389999999998</v>
      </c>
      <c r="H29" s="141">
        <f>0+6634.495</f>
        <v>6634.495</v>
      </c>
      <c r="I29" s="141">
        <v>13186.056</v>
      </c>
      <c r="J29" s="141">
        <f>120+130.612</f>
        <v>250.612</v>
      </c>
      <c r="K29" s="141">
        <v>317</v>
      </c>
      <c r="L29" s="141">
        <f>B29-D29-F29-H29-J29</f>
        <v>9322.565000000004</v>
      </c>
      <c r="M29" s="141">
        <f>C29-K29-I29-G29-E29</f>
        <v>15040.866000000004</v>
      </c>
      <c r="N29" s="89" t="s">
        <v>85</v>
      </c>
      <c r="O29" s="56"/>
      <c r="P29" s="57"/>
    </row>
    <row r="30" spans="1:16" ht="12" customHeight="1">
      <c r="A30" s="25"/>
      <c r="B30" s="141">
        <f>'P6'!C33</f>
        <v>30959.281000000003</v>
      </c>
      <c r="C30" s="141">
        <f>'P6'!D33</f>
        <v>25912.719</v>
      </c>
      <c r="D30" s="141">
        <f>917</f>
        <v>917</v>
      </c>
      <c r="E30" s="141">
        <f>3556+406</f>
        <v>3962</v>
      </c>
      <c r="F30" s="141">
        <f>3431.015+2350</f>
        <v>5781.014999999999</v>
      </c>
      <c r="G30" s="141">
        <f>280+3615.8</f>
        <v>3895.8</v>
      </c>
      <c r="H30" s="141">
        <f>4197.162+10481.098</f>
        <v>14678.26</v>
      </c>
      <c r="I30" s="141">
        <f>592+6973.119</f>
        <v>7565.119</v>
      </c>
      <c r="J30" s="141">
        <f>1559.851+2246.8</f>
        <v>3806.6510000000003</v>
      </c>
      <c r="K30" s="141">
        <f>2650+4138.5</f>
        <v>6788.5</v>
      </c>
      <c r="L30" s="141">
        <f>B30-D30-F30-H30-J30</f>
        <v>5776.355000000003</v>
      </c>
      <c r="M30" s="141">
        <f>C30-K30-I30-G30-E30</f>
        <v>3701.300000000002</v>
      </c>
      <c r="N30" s="89" t="s">
        <v>86</v>
      </c>
      <c r="O30" s="56"/>
      <c r="P30" s="57"/>
    </row>
    <row r="31" spans="1:16" ht="12" customHeight="1">
      <c r="A31" s="25"/>
      <c r="B31" s="141">
        <f>'P6'!C34</f>
        <v>90791.183</v>
      </c>
      <c r="C31" s="141">
        <f>'P6'!D34</f>
        <v>77119.428</v>
      </c>
      <c r="D31" s="141">
        <f>17267+4495</f>
        <v>21762</v>
      </c>
      <c r="E31" s="141">
        <f>4317.247+27954</f>
        <v>32271.247</v>
      </c>
      <c r="F31" s="141">
        <f>4601.319+764.5</f>
        <v>5365.819</v>
      </c>
      <c r="G31" s="141">
        <f>1314.5+8856.581</f>
        <v>10171.081</v>
      </c>
      <c r="H31" s="141">
        <f>415.2+7652</f>
        <v>8067.2</v>
      </c>
      <c r="I31" s="141">
        <f>6+3577.3</f>
        <v>3583.3</v>
      </c>
      <c r="J31" s="141">
        <f>16533.461+7173</f>
        <v>23706.461</v>
      </c>
      <c r="K31" s="141">
        <f>196+13113.8</f>
        <v>13309.8</v>
      </c>
      <c r="L31" s="141">
        <f>B31-D31-F31-H31-J31</f>
        <v>31889.703000000005</v>
      </c>
      <c r="M31" s="141">
        <f>C31-K31-I31-G31-E31</f>
        <v>17783.999999999996</v>
      </c>
      <c r="N31" s="89" t="s">
        <v>87</v>
      </c>
      <c r="O31" s="56"/>
      <c r="P31" s="57"/>
    </row>
    <row r="32" spans="1:16" ht="12" customHeight="1">
      <c r="A32" s="25"/>
      <c r="B32" s="141">
        <f>'P6'!C35</f>
        <v>249161.569</v>
      </c>
      <c r="C32" s="141">
        <f>'P6'!D35</f>
        <v>145734.207</v>
      </c>
      <c r="D32" s="141">
        <f>2519.929+2055.45</f>
        <v>4575.379</v>
      </c>
      <c r="E32" s="141">
        <f>2351+26633</f>
        <v>28984</v>
      </c>
      <c r="F32" s="141">
        <f>1429.826+28608.514</f>
        <v>30038.34</v>
      </c>
      <c r="G32" s="141">
        <f>6142.028+7083.712</f>
        <v>13225.740000000002</v>
      </c>
      <c r="H32" s="141">
        <v>0</v>
      </c>
      <c r="I32" s="141">
        <f>110.158+365.704</f>
        <v>475.862</v>
      </c>
      <c r="J32" s="141">
        <f>1849.3+51798.315</f>
        <v>53647.615000000005</v>
      </c>
      <c r="K32" s="141">
        <f>14515.537</f>
        <v>14515.537</v>
      </c>
      <c r="L32" s="141">
        <f>B32-D32-F32-H32-J32</f>
        <v>160900.235</v>
      </c>
      <c r="M32" s="141">
        <f>C32-K32-I32-G32-E32</f>
        <v>88533.06799999998</v>
      </c>
      <c r="N32" s="89" t="s">
        <v>88</v>
      </c>
      <c r="O32" s="56"/>
      <c r="P32" s="57"/>
    </row>
    <row r="33" spans="1:16" s="49" customFormat="1" ht="12" customHeight="1">
      <c r="A33" s="47"/>
      <c r="B33" s="142">
        <f aca="true" t="shared" si="5" ref="B33:M33">SUM(B29:B32)</f>
        <v>394420.804</v>
      </c>
      <c r="C33" s="142">
        <f t="shared" si="5"/>
        <v>292705.302</v>
      </c>
      <c r="D33" s="142">
        <f t="shared" si="5"/>
        <v>33122.744</v>
      </c>
      <c r="E33" s="142">
        <f>SUM(E29:E32)</f>
        <v>77560.234</v>
      </c>
      <c r="F33" s="142">
        <f>SUM(F29:F32)</f>
        <v>42617.907999999996</v>
      </c>
      <c r="G33" s="142">
        <f>SUM(G29:G32)</f>
        <v>30344.66</v>
      </c>
      <c r="H33" s="142">
        <f t="shared" si="5"/>
        <v>29379.955</v>
      </c>
      <c r="I33" s="142">
        <f>SUM(I29:I32)</f>
        <v>24810.337</v>
      </c>
      <c r="J33" s="142">
        <f t="shared" si="5"/>
        <v>81411.339</v>
      </c>
      <c r="K33" s="142">
        <f>SUM(K29:K32)</f>
        <v>34930.837</v>
      </c>
      <c r="L33" s="142">
        <f t="shared" si="5"/>
        <v>207888.858</v>
      </c>
      <c r="M33" s="142">
        <f t="shared" si="5"/>
        <v>125059.23399999998</v>
      </c>
      <c r="N33" s="48" t="s">
        <v>89</v>
      </c>
      <c r="O33" s="58"/>
      <c r="P33" s="57"/>
    </row>
    <row r="34" spans="1:16" ht="12" customHeight="1">
      <c r="A34" s="25"/>
      <c r="B34" s="141">
        <f>'P6'!C37</f>
        <v>34013.909</v>
      </c>
      <c r="C34" s="141">
        <f>'P6'!D37</f>
        <v>47799.87</v>
      </c>
      <c r="D34" s="141">
        <f>1500+44.5</f>
        <v>1544.5</v>
      </c>
      <c r="E34" s="141">
        <v>133.15</v>
      </c>
      <c r="F34" s="141">
        <f>82+2850.636</f>
        <v>2932.636</v>
      </c>
      <c r="G34" s="141">
        <v>3197.988</v>
      </c>
      <c r="H34" s="141">
        <v>0</v>
      </c>
      <c r="I34" s="141">
        <v>0</v>
      </c>
      <c r="J34" s="141">
        <v>0</v>
      </c>
      <c r="K34" s="141">
        <v>0</v>
      </c>
      <c r="L34" s="141">
        <f>B34-D34-F34-H34-J34</f>
        <v>29536.773</v>
      </c>
      <c r="M34" s="141">
        <f>C34-K34-I34-G34-E34</f>
        <v>44468.732</v>
      </c>
      <c r="N34" s="89" t="s">
        <v>90</v>
      </c>
      <c r="O34" s="56"/>
      <c r="P34" s="57"/>
    </row>
    <row r="35" spans="1:16" ht="12" customHeight="1">
      <c r="A35" s="25"/>
      <c r="B35" s="141">
        <f>'P6'!C38</f>
        <v>7628.563</v>
      </c>
      <c r="C35" s="141">
        <f>'P6'!D38</f>
        <v>9712.893</v>
      </c>
      <c r="D35" s="141">
        <f>0+380</f>
        <v>380</v>
      </c>
      <c r="E35" s="141">
        <v>2183.934</v>
      </c>
      <c r="F35" s="141">
        <f>0+1362.924</f>
        <v>1362.924</v>
      </c>
      <c r="G35" s="141">
        <v>1434.569</v>
      </c>
      <c r="H35" s="141">
        <v>0</v>
      </c>
      <c r="I35" s="141">
        <v>0</v>
      </c>
      <c r="J35" s="141">
        <v>0</v>
      </c>
      <c r="K35" s="141">
        <v>0</v>
      </c>
      <c r="L35" s="141">
        <f>B35-D35-F35-H35-J35</f>
        <v>5885.639</v>
      </c>
      <c r="M35" s="141">
        <f>C35-K35-I35-G35-E35</f>
        <v>6094.39</v>
      </c>
      <c r="N35" s="89" t="s">
        <v>91</v>
      </c>
      <c r="O35" s="56"/>
      <c r="P35" s="57"/>
    </row>
    <row r="36" spans="1:16" ht="12" customHeight="1">
      <c r="A36" s="25"/>
      <c r="B36" s="141">
        <f>'P6'!C39</f>
        <v>9529.402</v>
      </c>
      <c r="C36" s="141">
        <f>'P6'!D39</f>
        <v>17797.717</v>
      </c>
      <c r="D36" s="141">
        <f>0+524.606</f>
        <v>524.606</v>
      </c>
      <c r="E36" s="141">
        <v>2757.359</v>
      </c>
      <c r="F36" s="141">
        <f>0+2964.763</f>
        <v>2964.763</v>
      </c>
      <c r="G36" s="141">
        <v>8178.93</v>
      </c>
      <c r="H36" s="141">
        <v>0</v>
      </c>
      <c r="I36" s="141">
        <v>0</v>
      </c>
      <c r="J36" s="141">
        <v>0</v>
      </c>
      <c r="K36" s="141">
        <v>0</v>
      </c>
      <c r="L36" s="141">
        <f>B36-D36-F36-H36-J36</f>
        <v>6040.033</v>
      </c>
      <c r="M36" s="141">
        <f>C36-K36-I36-G36-E36</f>
        <v>6861.428</v>
      </c>
      <c r="N36" s="89" t="s">
        <v>92</v>
      </c>
      <c r="O36" s="56"/>
      <c r="P36" s="57"/>
    </row>
    <row r="37" spans="1:16" s="49" customFormat="1" ht="12" customHeight="1">
      <c r="A37" s="47"/>
      <c r="B37" s="142">
        <f aca="true" t="shared" si="6" ref="B37:M37">SUM(B34:B36)</f>
        <v>51171.874</v>
      </c>
      <c r="C37" s="142">
        <f t="shared" si="6"/>
        <v>75310.48000000001</v>
      </c>
      <c r="D37" s="142">
        <f t="shared" si="6"/>
        <v>2449.1059999999998</v>
      </c>
      <c r="E37" s="142">
        <f>SUM(E34:E36)</f>
        <v>5074.443</v>
      </c>
      <c r="F37" s="142">
        <f t="shared" si="6"/>
        <v>7260.322999999999</v>
      </c>
      <c r="G37" s="142">
        <f>SUM(G34:G36)</f>
        <v>12811.487000000001</v>
      </c>
      <c r="H37" s="142">
        <f t="shared" si="6"/>
        <v>0</v>
      </c>
      <c r="I37" s="142">
        <f>SUM(I34:I36)</f>
        <v>0</v>
      </c>
      <c r="J37" s="142">
        <f>SUM(J34:J36)</f>
        <v>0</v>
      </c>
      <c r="K37" s="142">
        <f>SUM(K34:K36)</f>
        <v>0</v>
      </c>
      <c r="L37" s="142">
        <f t="shared" si="6"/>
        <v>41462.44500000001</v>
      </c>
      <c r="M37" s="142">
        <f t="shared" si="6"/>
        <v>57424.55</v>
      </c>
      <c r="N37" s="48" t="s">
        <v>93</v>
      </c>
      <c r="O37" s="58"/>
      <c r="P37" s="57"/>
    </row>
    <row r="38" spans="1:16" ht="12" customHeight="1">
      <c r="A38" s="25"/>
      <c r="B38" s="141">
        <f>'P6'!C41</f>
        <v>58320.473</v>
      </c>
      <c r="C38" s="141">
        <f>'P6'!D41</f>
        <v>55698.181000000004</v>
      </c>
      <c r="D38" s="141">
        <f>0+505.081</f>
        <v>505.081</v>
      </c>
      <c r="E38" s="141">
        <f>250+1500</f>
        <v>1750</v>
      </c>
      <c r="F38" s="141">
        <f>0+4493.297</f>
        <v>4493.297</v>
      </c>
      <c r="G38" s="141">
        <f>585+5550.032</f>
        <v>6135.032</v>
      </c>
      <c r="H38" s="141">
        <v>0</v>
      </c>
      <c r="I38" s="141">
        <v>70.311</v>
      </c>
      <c r="J38" s="141">
        <f>6.6+10707.871</f>
        <v>10714.471</v>
      </c>
      <c r="K38" s="141">
        <v>2069.035</v>
      </c>
      <c r="L38" s="141">
        <f>B38-D38-F38-H38-J38</f>
        <v>42607.624</v>
      </c>
      <c r="M38" s="141">
        <f>C38-K38-I38-G38-E38</f>
        <v>45673.80300000001</v>
      </c>
      <c r="N38" s="89" t="s">
        <v>94</v>
      </c>
      <c r="O38" s="56"/>
      <c r="P38" s="57"/>
    </row>
    <row r="39" spans="1:16" ht="12" customHeight="1">
      <c r="A39" s="25"/>
      <c r="B39" s="141">
        <f>'P6'!C42</f>
        <v>44254.396</v>
      </c>
      <c r="C39" s="141">
        <f>'P6'!D42</f>
        <v>33372.894</v>
      </c>
      <c r="D39" s="141">
        <v>0</v>
      </c>
      <c r="E39" s="141">
        <v>0</v>
      </c>
      <c r="F39" s="141">
        <f>1675+4251.075</f>
        <v>5926.075</v>
      </c>
      <c r="G39" s="141">
        <v>5375.254</v>
      </c>
      <c r="H39" s="141">
        <f>0+6300.535</f>
        <v>6300.535</v>
      </c>
      <c r="I39" s="141">
        <v>158</v>
      </c>
      <c r="J39" s="141">
        <f>0+14500.774</f>
        <v>14500.774</v>
      </c>
      <c r="K39" s="141">
        <v>2471.493</v>
      </c>
      <c r="L39" s="141">
        <f>B39-D39-F39-H39-J39</f>
        <v>17527.012000000002</v>
      </c>
      <c r="M39" s="141">
        <f>C39-K39-I39-G39-E39</f>
        <v>25368.147</v>
      </c>
      <c r="N39" s="89" t="s">
        <v>95</v>
      </c>
      <c r="O39" s="56"/>
      <c r="P39" s="57"/>
    </row>
    <row r="40" spans="1:16" ht="12" customHeight="1">
      <c r="A40" s="25"/>
      <c r="B40" s="141">
        <f>'P6'!C43</f>
        <v>12231.615</v>
      </c>
      <c r="C40" s="141">
        <f>'P6'!D43</f>
        <v>27736.957</v>
      </c>
      <c r="D40" s="141">
        <f>0+1407</f>
        <v>1407</v>
      </c>
      <c r="E40" s="141">
        <f>6991.521</f>
        <v>6991.521</v>
      </c>
      <c r="F40" s="141">
        <f>80+615.6</f>
        <v>695.6</v>
      </c>
      <c r="G40" s="141">
        <v>2136.355</v>
      </c>
      <c r="H40" s="141">
        <v>0</v>
      </c>
      <c r="I40" s="141">
        <v>0</v>
      </c>
      <c r="J40" s="141">
        <v>0</v>
      </c>
      <c r="K40" s="141">
        <v>0</v>
      </c>
      <c r="L40" s="141">
        <f>B40-D40-F40-H40-J40</f>
        <v>10129.015</v>
      </c>
      <c r="M40" s="141">
        <f>C40-K40-I40-G40-E40</f>
        <v>18609.081</v>
      </c>
      <c r="N40" s="89" t="s">
        <v>96</v>
      </c>
      <c r="O40" s="56"/>
      <c r="P40" s="57"/>
    </row>
    <row r="41" spans="1:16" s="49" customFormat="1" ht="15.75">
      <c r="A41" s="47"/>
      <c r="B41" s="143">
        <f aca="true" t="shared" si="7" ref="B41:M41">SUM(B38:B40)</f>
        <v>114806.48400000001</v>
      </c>
      <c r="C41" s="143">
        <f>SUM(C38:C40)</f>
        <v>116808.032</v>
      </c>
      <c r="D41" s="143">
        <f t="shared" si="7"/>
        <v>1912.0810000000001</v>
      </c>
      <c r="E41" s="143">
        <f>SUM(E38:E40)</f>
        <v>8741.521</v>
      </c>
      <c r="F41" s="143">
        <f t="shared" si="7"/>
        <v>11114.972</v>
      </c>
      <c r="G41" s="143">
        <f>SUM(G38:G40)</f>
        <v>13646.641</v>
      </c>
      <c r="H41" s="143">
        <f t="shared" si="7"/>
        <v>6300.535</v>
      </c>
      <c r="I41" s="143">
        <f>SUM(I38:I40)</f>
        <v>228.311</v>
      </c>
      <c r="J41" s="143">
        <f t="shared" si="7"/>
        <v>25215.245</v>
      </c>
      <c r="K41" s="143">
        <f>SUM(K38:K40)</f>
        <v>4540.528</v>
      </c>
      <c r="L41" s="143">
        <f t="shared" si="7"/>
        <v>70263.65100000001</v>
      </c>
      <c r="M41" s="143">
        <f t="shared" si="7"/>
        <v>89651.03100000002</v>
      </c>
      <c r="N41" s="14" t="s">
        <v>97</v>
      </c>
      <c r="O41" s="58"/>
      <c r="P41" s="57"/>
    </row>
    <row r="42" spans="1:16" s="49" customFormat="1" ht="15.75">
      <c r="A42" s="47"/>
      <c r="B42" s="142">
        <f>B41+B37+B33+B28+B24+B19</f>
        <v>1315159.2340000002</v>
      </c>
      <c r="C42" s="142">
        <f aca="true" t="shared" si="8" ref="C42:M42">C41+C37+C33+C28+C24+C19</f>
        <v>1308582.943</v>
      </c>
      <c r="D42" s="142">
        <f>D41+D37+D33+D28+D24+D19</f>
        <v>77514.237</v>
      </c>
      <c r="E42" s="258">
        <f t="shared" si="8"/>
        <v>186828.748</v>
      </c>
      <c r="F42" s="142">
        <f t="shared" si="8"/>
        <v>150534.98599999998</v>
      </c>
      <c r="G42" s="142">
        <f t="shared" si="8"/>
        <v>153322.15899999999</v>
      </c>
      <c r="H42" s="142">
        <f t="shared" si="8"/>
        <v>40087.831000000006</v>
      </c>
      <c r="I42" s="142">
        <f>I41+I37+I33+I28+I24+I19</f>
        <v>27354.147</v>
      </c>
      <c r="J42" s="258">
        <f t="shared" si="8"/>
        <v>118498.754</v>
      </c>
      <c r="K42" s="142">
        <f>K41+K37+K33+K28+K24+K19</f>
        <v>58274.943</v>
      </c>
      <c r="L42" s="142">
        <f>L41+L37+L33+L28+L24+L19</f>
        <v>928523.426</v>
      </c>
      <c r="M42" s="142">
        <f t="shared" si="8"/>
        <v>882802.946</v>
      </c>
      <c r="N42" s="48" t="s">
        <v>20</v>
      </c>
      <c r="O42" s="58"/>
      <c r="P42" s="57"/>
    </row>
    <row r="43" spans="1:16" s="52" customFormat="1" ht="18.75" customHeight="1">
      <c r="A43" s="51"/>
      <c r="B43" s="146">
        <f>D43+F43+H43+J43+L43</f>
        <v>0.9999999999999999</v>
      </c>
      <c r="C43" s="146">
        <f>E43+G43+I43+K43+M43</f>
        <v>1</v>
      </c>
      <c r="D43" s="146">
        <f>D42/$B$42</f>
        <v>0.058939050873895914</v>
      </c>
      <c r="E43" s="146">
        <f>E42/$C$42</f>
        <v>0.1427718044159162</v>
      </c>
      <c r="F43" s="146">
        <f>F42/$B$42</f>
        <v>0.11446141433547502</v>
      </c>
      <c r="G43" s="146">
        <f>G42/$C$42</f>
        <v>0.1171665577792878</v>
      </c>
      <c r="H43" s="146">
        <f>H42/$B$42</f>
        <v>0.030481351583621242</v>
      </c>
      <c r="I43" s="146">
        <f>I42/$C$42</f>
        <v>0.020903640190578276</v>
      </c>
      <c r="J43" s="146">
        <f>J42/$B$42</f>
        <v>0.09010221039135402</v>
      </c>
      <c r="K43" s="146">
        <f>K42/$C$42</f>
        <v>0.044532861529129684</v>
      </c>
      <c r="L43" s="146">
        <f>L42/$B$42</f>
        <v>0.7060159728156536</v>
      </c>
      <c r="M43" s="146">
        <f>M42/$C$42</f>
        <v>0.674625136085088</v>
      </c>
      <c r="N43" s="50" t="s">
        <v>1</v>
      </c>
      <c r="O43" s="58"/>
      <c r="P43" s="57"/>
    </row>
    <row r="44" spans="1:16" ht="4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36"/>
      <c r="P44" s="26"/>
    </row>
    <row r="45" spans="1:16" ht="9" customHeight="1" hidden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36"/>
      <c r="P45" s="26"/>
    </row>
    <row r="46" spans="1:16" ht="9" customHeight="1" hidden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26"/>
    </row>
    <row r="47" spans="6:10" ht="13.5" customHeight="1">
      <c r="F47" s="26"/>
      <c r="G47" s="26"/>
      <c r="H47" s="26"/>
      <c r="I47" s="26"/>
      <c r="J47" s="26"/>
    </row>
  </sheetData>
  <sheetProtection/>
  <mergeCells count="16">
    <mergeCell ref="M8:N8"/>
    <mergeCell ref="B6:N6"/>
    <mergeCell ref="B7:N7"/>
    <mergeCell ref="A2:C2"/>
    <mergeCell ref="M2:N2"/>
    <mergeCell ref="A3:C3"/>
    <mergeCell ref="B5:N5"/>
    <mergeCell ref="B8:C8"/>
    <mergeCell ref="L3:N3"/>
    <mergeCell ref="B9:C10"/>
    <mergeCell ref="D9:E10"/>
    <mergeCell ref="N9:N11"/>
    <mergeCell ref="F9:G10"/>
    <mergeCell ref="H9:I10"/>
    <mergeCell ref="J9:K10"/>
    <mergeCell ref="L9:M10"/>
  </mergeCells>
  <printOptions verticalCentered="1"/>
  <pageMargins left="0.2755905511811024" right="0.2362204724409449" top="0" bottom="0" header="0" footer="0.2755905511811024"/>
  <pageSetup fitToHeight="1" fitToWidth="1" horizontalDpi="600" verticalDpi="600" orientation="landscape" paperSize="9" scale="93" r:id="rId2"/>
  <headerFooter alignWithMargins="0">
    <oddFooter>&amp;C- 7-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="82" zoomScaleNormal="75" zoomScaleSheetLayoutView="82" zoomScalePageLayoutView="0" workbookViewId="0" topLeftCell="A31">
      <selection activeCell="D51" sqref="D51"/>
    </sheetView>
  </sheetViews>
  <sheetFormatPr defaultColWidth="9.140625" defaultRowHeight="12.75"/>
  <cols>
    <col min="1" max="1" width="14.140625" style="167" customWidth="1"/>
    <col min="2" max="2" width="12.7109375" style="167" customWidth="1"/>
    <col min="3" max="3" width="13.140625" style="167" bestFit="1" customWidth="1"/>
    <col min="4" max="4" width="12.8515625" style="167" bestFit="1" customWidth="1"/>
    <col min="5" max="5" width="14.421875" style="167" bestFit="1" customWidth="1"/>
    <col min="6" max="6" width="12.7109375" style="167" bestFit="1" customWidth="1"/>
    <col min="7" max="7" width="11.8515625" style="167" customWidth="1"/>
    <col min="8" max="8" width="12.57421875" style="167" customWidth="1"/>
    <col min="9" max="10" width="10.7109375" style="167" customWidth="1"/>
    <col min="11" max="11" width="18.28125" style="167" customWidth="1"/>
    <col min="12" max="12" width="18.7109375" style="167" customWidth="1"/>
    <col min="13" max="16384" width="9.140625" style="167" customWidth="1"/>
  </cols>
  <sheetData>
    <row r="1" spans="1:12" ht="18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8.75">
      <c r="A2" s="101"/>
      <c r="B2" s="101"/>
      <c r="C2" s="101"/>
      <c r="D2" s="101"/>
      <c r="E2" s="101"/>
      <c r="F2" s="101"/>
      <c r="G2" s="100"/>
      <c r="H2" s="100"/>
      <c r="I2" s="100"/>
      <c r="J2" s="100"/>
      <c r="K2" s="100"/>
      <c r="L2" s="100"/>
    </row>
    <row r="3" spans="1:12" ht="18.75">
      <c r="A3" s="168"/>
      <c r="B3" s="100"/>
      <c r="C3" s="346" t="s">
        <v>24</v>
      </c>
      <c r="D3" s="346"/>
      <c r="E3" s="100"/>
      <c r="F3" s="100"/>
      <c r="G3" s="100"/>
      <c r="H3" s="100"/>
      <c r="I3" s="100"/>
      <c r="J3" s="351" t="s">
        <v>16</v>
      </c>
      <c r="K3" s="351"/>
      <c r="L3" s="101"/>
    </row>
    <row r="4" spans="1:12" ht="18.75">
      <c r="A4" s="168"/>
      <c r="B4" s="100"/>
      <c r="C4" s="346" t="s">
        <v>21</v>
      </c>
      <c r="D4" s="346"/>
      <c r="E4" s="100"/>
      <c r="F4" s="100"/>
      <c r="G4" s="100"/>
      <c r="H4" s="100"/>
      <c r="I4" s="351" t="s">
        <v>130</v>
      </c>
      <c r="J4" s="351"/>
      <c r="K4" s="351"/>
      <c r="L4" s="101"/>
    </row>
    <row r="5" spans="1:12" ht="18.75">
      <c r="A5" s="168"/>
      <c r="B5" s="100"/>
      <c r="C5" s="100"/>
      <c r="D5" s="100"/>
      <c r="E5" s="100"/>
      <c r="F5" s="100"/>
      <c r="G5" s="100"/>
      <c r="H5" s="100"/>
      <c r="I5" s="169"/>
      <c r="J5" s="100"/>
      <c r="K5" s="100"/>
      <c r="L5" s="101"/>
    </row>
    <row r="6" spans="1:12" ht="18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25.5">
      <c r="A7" s="101"/>
      <c r="B7" s="189"/>
      <c r="C7" s="347" t="s">
        <v>119</v>
      </c>
      <c r="D7" s="347"/>
      <c r="E7" s="347"/>
      <c r="F7" s="347"/>
      <c r="G7" s="347"/>
      <c r="H7" s="347"/>
      <c r="I7" s="347"/>
      <c r="J7" s="347"/>
      <c r="K7" s="347"/>
      <c r="L7" s="101"/>
    </row>
    <row r="8" spans="1:12" ht="25.5">
      <c r="A8" s="101"/>
      <c r="B8" s="189"/>
      <c r="C8" s="347" t="s">
        <v>120</v>
      </c>
      <c r="D8" s="347"/>
      <c r="E8" s="347"/>
      <c r="F8" s="347"/>
      <c r="G8" s="347"/>
      <c r="H8" s="347"/>
      <c r="I8" s="347"/>
      <c r="J8" s="347"/>
      <c r="K8" s="347"/>
      <c r="L8" s="170"/>
    </row>
    <row r="9" spans="1:12" ht="25.5">
      <c r="A9" s="101"/>
      <c r="B9" s="189"/>
      <c r="C9" s="347" t="s">
        <v>141</v>
      </c>
      <c r="D9" s="347"/>
      <c r="E9" s="347"/>
      <c r="F9" s="347"/>
      <c r="G9" s="347"/>
      <c r="H9" s="347"/>
      <c r="I9" s="347"/>
      <c r="J9" s="347"/>
      <c r="K9" s="347"/>
      <c r="L9" s="101"/>
    </row>
    <row r="10" spans="1:12" ht="19.5" thickBot="1">
      <c r="A10" s="101"/>
      <c r="B10" s="171"/>
      <c r="C10" s="277" t="s">
        <v>143</v>
      </c>
      <c r="D10" s="277"/>
      <c r="E10" s="171"/>
      <c r="F10" s="171"/>
      <c r="G10" s="171"/>
      <c r="H10" s="171"/>
      <c r="I10" s="171"/>
      <c r="J10" s="171"/>
      <c r="K10" s="171"/>
      <c r="L10" s="101"/>
    </row>
    <row r="11" spans="1:12" ht="18.75">
      <c r="A11" s="101"/>
      <c r="C11" s="362" t="s">
        <v>114</v>
      </c>
      <c r="D11" s="363"/>
      <c r="E11" s="391" t="s">
        <v>56</v>
      </c>
      <c r="F11" s="363"/>
      <c r="G11" s="391" t="s">
        <v>66</v>
      </c>
      <c r="H11" s="363"/>
      <c r="I11" s="391" t="s">
        <v>42</v>
      </c>
      <c r="J11" s="363"/>
      <c r="K11" s="366" t="s">
        <v>55</v>
      </c>
      <c r="L11" s="170"/>
    </row>
    <row r="12" spans="1:12" ht="19.5" thickBot="1">
      <c r="A12" s="101"/>
      <c r="C12" s="364"/>
      <c r="D12" s="365"/>
      <c r="E12" s="392" t="s">
        <v>113</v>
      </c>
      <c r="F12" s="365"/>
      <c r="G12" s="392" t="s">
        <v>113</v>
      </c>
      <c r="H12" s="365"/>
      <c r="I12" s="392"/>
      <c r="J12" s="365"/>
      <c r="K12" s="367"/>
      <c r="L12" s="100"/>
    </row>
    <row r="13" spans="1:12" ht="18.75">
      <c r="A13" s="101"/>
      <c r="C13" s="389"/>
      <c r="D13" s="390"/>
      <c r="E13" s="368"/>
      <c r="F13" s="369"/>
      <c r="G13" s="368"/>
      <c r="H13" s="369"/>
      <c r="I13" s="368"/>
      <c r="J13" s="369"/>
      <c r="K13" s="198">
        <v>2021</v>
      </c>
      <c r="L13" s="171"/>
    </row>
    <row r="14" spans="1:12" ht="20.25">
      <c r="A14" s="101"/>
      <c r="C14" s="350">
        <v>111.1863</v>
      </c>
      <c r="D14" s="349"/>
      <c r="E14" s="348">
        <v>2759</v>
      </c>
      <c r="F14" s="349"/>
      <c r="G14" s="348">
        <v>2698.36</v>
      </c>
      <c r="H14" s="349"/>
      <c r="I14" s="348">
        <v>16</v>
      </c>
      <c r="J14" s="349"/>
      <c r="K14" s="195" t="s">
        <v>115</v>
      </c>
      <c r="L14" s="171"/>
    </row>
    <row r="15" spans="1:12" ht="20.25">
      <c r="A15" s="101"/>
      <c r="C15" s="350">
        <v>531.33</v>
      </c>
      <c r="D15" s="349"/>
      <c r="E15" s="348">
        <v>7656.94</v>
      </c>
      <c r="F15" s="349"/>
      <c r="G15" s="348">
        <v>5154.518</v>
      </c>
      <c r="H15" s="349"/>
      <c r="I15" s="348">
        <v>49</v>
      </c>
      <c r="J15" s="349"/>
      <c r="K15" s="195" t="s">
        <v>116</v>
      </c>
      <c r="L15" s="172"/>
    </row>
    <row r="16" spans="1:12" ht="20.25">
      <c r="A16" s="101"/>
      <c r="C16" s="350">
        <v>50.4187</v>
      </c>
      <c r="D16" s="349"/>
      <c r="E16" s="348">
        <v>352.25</v>
      </c>
      <c r="F16" s="349"/>
      <c r="G16" s="348">
        <v>285.806</v>
      </c>
      <c r="H16" s="349"/>
      <c r="I16" s="348">
        <v>2</v>
      </c>
      <c r="J16" s="349"/>
      <c r="K16" s="195" t="s">
        <v>117</v>
      </c>
      <c r="L16" s="172"/>
    </row>
    <row r="17" spans="1:12" ht="20.25">
      <c r="A17" s="101"/>
      <c r="C17" s="354">
        <f>SUM(C14:D16)</f>
        <v>692.935</v>
      </c>
      <c r="D17" s="355"/>
      <c r="E17" s="358">
        <f>SUM(E14:F16)</f>
        <v>10768.189999999999</v>
      </c>
      <c r="F17" s="355"/>
      <c r="G17" s="358">
        <f>SUM(G14:H16)</f>
        <v>8138.684</v>
      </c>
      <c r="H17" s="355"/>
      <c r="I17" s="358">
        <f>SUM(I14:J16)</f>
        <v>67</v>
      </c>
      <c r="J17" s="355"/>
      <c r="K17" s="196" t="s">
        <v>22</v>
      </c>
      <c r="L17" s="172"/>
    </row>
    <row r="18" spans="1:12" ht="20.25">
      <c r="A18" s="101"/>
      <c r="C18" s="350"/>
      <c r="D18" s="349"/>
      <c r="E18" s="348"/>
      <c r="F18" s="349"/>
      <c r="G18" s="348"/>
      <c r="H18" s="349"/>
      <c r="I18" s="348"/>
      <c r="J18" s="349"/>
      <c r="K18" s="194">
        <v>2022</v>
      </c>
      <c r="L18" s="101"/>
    </row>
    <row r="19" spans="1:12" ht="20.25">
      <c r="A19" s="101"/>
      <c r="C19" s="350">
        <v>156.1216</v>
      </c>
      <c r="D19" s="349"/>
      <c r="E19" s="348">
        <v>3608.51</v>
      </c>
      <c r="F19" s="349"/>
      <c r="G19" s="348">
        <v>3468.753</v>
      </c>
      <c r="H19" s="349"/>
      <c r="I19" s="348">
        <v>19</v>
      </c>
      <c r="J19" s="349"/>
      <c r="K19" s="195" t="s">
        <v>115</v>
      </c>
      <c r="L19" s="101"/>
    </row>
    <row r="20" spans="1:12" ht="20.25">
      <c r="A20" s="169"/>
      <c r="C20" s="350">
        <v>309.8995</v>
      </c>
      <c r="D20" s="349"/>
      <c r="E20" s="348">
        <v>5057.75</v>
      </c>
      <c r="F20" s="349"/>
      <c r="G20" s="348">
        <v>3460.717</v>
      </c>
      <c r="H20" s="349"/>
      <c r="I20" s="348">
        <v>34</v>
      </c>
      <c r="J20" s="349"/>
      <c r="K20" s="195" t="s">
        <v>116</v>
      </c>
      <c r="L20" s="101"/>
    </row>
    <row r="21" spans="1:12" ht="20.25">
      <c r="A21" s="101"/>
      <c r="C21" s="350">
        <v>52.6386</v>
      </c>
      <c r="D21" s="349"/>
      <c r="E21" s="348">
        <v>773.45</v>
      </c>
      <c r="F21" s="349"/>
      <c r="G21" s="348">
        <v>685.807</v>
      </c>
      <c r="H21" s="349"/>
      <c r="I21" s="348">
        <v>5</v>
      </c>
      <c r="J21" s="349"/>
      <c r="K21" s="195" t="s">
        <v>117</v>
      </c>
      <c r="L21" s="101"/>
    </row>
    <row r="22" spans="1:12" s="173" customFormat="1" ht="20.25">
      <c r="A22" s="169"/>
      <c r="C22" s="354">
        <f>SUM(C19:D21)</f>
        <v>518.6596999999999</v>
      </c>
      <c r="D22" s="355"/>
      <c r="E22" s="358">
        <f>SUM(E19:F21)</f>
        <v>9439.710000000001</v>
      </c>
      <c r="F22" s="355"/>
      <c r="G22" s="358">
        <f>SUM(G19:H21)</f>
        <v>7615.277</v>
      </c>
      <c r="H22" s="355"/>
      <c r="I22" s="358">
        <f>SUM(I19:J21)</f>
        <v>58</v>
      </c>
      <c r="J22" s="355"/>
      <c r="K22" s="196" t="s">
        <v>22</v>
      </c>
      <c r="L22" s="169"/>
    </row>
    <row r="23" spans="1:12" ht="20.25">
      <c r="A23" s="101"/>
      <c r="C23" s="356"/>
      <c r="D23" s="357"/>
      <c r="E23" s="359"/>
      <c r="F23" s="357"/>
      <c r="G23" s="359"/>
      <c r="H23" s="357"/>
      <c r="I23" s="359"/>
      <c r="J23" s="357"/>
      <c r="K23" s="196" t="s">
        <v>118</v>
      </c>
      <c r="L23" s="101"/>
    </row>
    <row r="24" spans="1:12" ht="20.25">
      <c r="A24" s="101"/>
      <c r="C24" s="352">
        <f>(C19-C14)/C14</f>
        <v>0.40414421560929714</v>
      </c>
      <c r="D24" s="353"/>
      <c r="E24" s="352">
        <f>(E19-E14)/E14</f>
        <v>0.3079050380572672</v>
      </c>
      <c r="F24" s="353"/>
      <c r="G24" s="352">
        <f>(G19-G14)/G14</f>
        <v>0.2855041580812049</v>
      </c>
      <c r="H24" s="353"/>
      <c r="I24" s="352">
        <f>(I19-I14)/I14</f>
        <v>0.1875</v>
      </c>
      <c r="J24" s="353"/>
      <c r="K24" s="195" t="s">
        <v>115</v>
      </c>
      <c r="L24" s="101"/>
    </row>
    <row r="25" spans="1:12" ht="20.25">
      <c r="A25" s="101"/>
      <c r="C25" s="352">
        <f>(C20-C15)/C15</f>
        <v>-0.4167475956561836</v>
      </c>
      <c r="D25" s="353"/>
      <c r="E25" s="352">
        <f>(E20-E15)/E15</f>
        <v>-0.33945544826000984</v>
      </c>
      <c r="F25" s="353"/>
      <c r="G25" s="352">
        <f>(G20-G15)/G15</f>
        <v>-0.3286051188491339</v>
      </c>
      <c r="H25" s="353"/>
      <c r="I25" s="352">
        <f>(I20-I15)/I15</f>
        <v>-0.30612244897959184</v>
      </c>
      <c r="J25" s="353"/>
      <c r="K25" s="195" t="s">
        <v>116</v>
      </c>
      <c r="L25" s="169"/>
    </row>
    <row r="26" spans="1:12" ht="20.25">
      <c r="A26" s="101"/>
      <c r="C26" s="352">
        <f>(C21-C16)/C16</f>
        <v>0.04402929865307902</v>
      </c>
      <c r="D26" s="353"/>
      <c r="E26" s="352">
        <f>(E21-E16)/E16</f>
        <v>1.1957416607523068</v>
      </c>
      <c r="F26" s="353"/>
      <c r="G26" s="352">
        <f>(G21-G16)/G16</f>
        <v>1.399554243087969</v>
      </c>
      <c r="H26" s="353"/>
      <c r="I26" s="352">
        <f>(I21-I16)/I16</f>
        <v>1.5</v>
      </c>
      <c r="J26" s="353"/>
      <c r="K26" s="195" t="s">
        <v>117</v>
      </c>
      <c r="L26" s="101"/>
    </row>
    <row r="27" spans="1:12" s="173" customFormat="1" ht="21" thickBot="1">
      <c r="A27" s="169"/>
      <c r="C27" s="360">
        <f>(C22-C17)/C17</f>
        <v>-0.25150309913628266</v>
      </c>
      <c r="D27" s="361"/>
      <c r="E27" s="360">
        <f>(E22-E17)/E17</f>
        <v>-0.12337078004752869</v>
      </c>
      <c r="F27" s="361"/>
      <c r="G27" s="360">
        <f>(G22-G17)/G17</f>
        <v>-0.06431101146082095</v>
      </c>
      <c r="H27" s="361"/>
      <c r="I27" s="360">
        <f>(I22-I17)/I17</f>
        <v>-0.13432835820895522</v>
      </c>
      <c r="J27" s="361"/>
      <c r="K27" s="197" t="s">
        <v>22</v>
      </c>
      <c r="L27" s="169"/>
    </row>
    <row r="28" spans="1:12" ht="18.75">
      <c r="A28" s="101"/>
      <c r="B28" s="174"/>
      <c r="C28" s="174"/>
      <c r="D28" s="174"/>
      <c r="E28" s="174"/>
      <c r="F28" s="174"/>
      <c r="G28" s="174"/>
      <c r="H28" s="174"/>
      <c r="I28" s="174"/>
      <c r="J28" s="174"/>
      <c r="L28" s="101"/>
    </row>
    <row r="29" spans="1:12" ht="18.75">
      <c r="A29" s="101"/>
      <c r="B29" s="174"/>
      <c r="C29" s="174"/>
      <c r="D29" s="174"/>
      <c r="E29" s="174"/>
      <c r="F29" s="174"/>
      <c r="G29" s="174"/>
      <c r="H29" s="174"/>
      <c r="I29" s="174"/>
      <c r="J29" s="174"/>
      <c r="K29" s="100"/>
      <c r="L29" s="101"/>
    </row>
    <row r="30" spans="1:12" ht="25.5">
      <c r="A30" s="101"/>
      <c r="B30" s="376" t="s">
        <v>99</v>
      </c>
      <c r="C30" s="376"/>
      <c r="D30" s="376"/>
      <c r="E30" s="376"/>
      <c r="F30" s="376"/>
      <c r="G30" s="376"/>
      <c r="H30" s="376"/>
      <c r="I30" s="376"/>
      <c r="J30" s="376"/>
      <c r="K30" s="376"/>
      <c r="L30" s="101"/>
    </row>
    <row r="31" spans="1:12" ht="25.5">
      <c r="A31" s="101"/>
      <c r="B31" s="376" t="s">
        <v>112</v>
      </c>
      <c r="C31" s="376"/>
      <c r="D31" s="376"/>
      <c r="E31" s="376"/>
      <c r="F31" s="376"/>
      <c r="G31" s="376"/>
      <c r="H31" s="376"/>
      <c r="I31" s="376"/>
      <c r="J31" s="376"/>
      <c r="K31" s="376"/>
      <c r="L31" s="101"/>
    </row>
    <row r="32" spans="1:12" ht="25.5">
      <c r="A32" s="101"/>
      <c r="B32" s="376" t="s">
        <v>141</v>
      </c>
      <c r="C32" s="376"/>
      <c r="D32" s="376"/>
      <c r="E32" s="376"/>
      <c r="F32" s="376"/>
      <c r="G32" s="376"/>
      <c r="H32" s="376"/>
      <c r="I32" s="376"/>
      <c r="J32" s="376"/>
      <c r="K32" s="376"/>
      <c r="L32" s="101"/>
    </row>
    <row r="33" spans="1:12" ht="18.75">
      <c r="A33" s="168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1"/>
    </row>
    <row r="34" spans="1:12" ht="19.5" thickBot="1">
      <c r="A34" s="168"/>
      <c r="B34" s="277" t="s">
        <v>143</v>
      </c>
      <c r="C34" s="277"/>
      <c r="D34" s="241"/>
      <c r="E34" s="100"/>
      <c r="F34" s="100"/>
      <c r="G34" s="100"/>
      <c r="H34" s="101"/>
      <c r="I34" s="101"/>
      <c r="J34" s="289" t="s">
        <v>67</v>
      </c>
      <c r="K34" s="289"/>
      <c r="L34" s="101"/>
    </row>
    <row r="35" spans="1:12" ht="24.75" customHeight="1">
      <c r="A35" s="168"/>
      <c r="B35" s="386" t="s">
        <v>100</v>
      </c>
      <c r="C35" s="378"/>
      <c r="D35" s="387"/>
      <c r="E35" s="377" t="s">
        <v>37</v>
      </c>
      <c r="F35" s="378"/>
      <c r="G35" s="387"/>
      <c r="H35" s="377" t="s">
        <v>101</v>
      </c>
      <c r="I35" s="378"/>
      <c r="J35" s="387"/>
      <c r="K35" s="201" t="s">
        <v>102</v>
      </c>
      <c r="L35" s="101"/>
    </row>
    <row r="36" spans="1:12" s="177" customFormat="1" ht="24.75" customHeight="1" thickBot="1">
      <c r="A36" s="175"/>
      <c r="B36" s="202" t="s">
        <v>39</v>
      </c>
      <c r="C36" s="203">
        <v>2022</v>
      </c>
      <c r="D36" s="203">
        <v>2021</v>
      </c>
      <c r="E36" s="203" t="s">
        <v>39</v>
      </c>
      <c r="F36" s="203">
        <v>2022</v>
      </c>
      <c r="G36" s="203">
        <v>2021</v>
      </c>
      <c r="H36" s="203" t="s">
        <v>39</v>
      </c>
      <c r="I36" s="203">
        <v>2022</v>
      </c>
      <c r="J36" s="203">
        <v>2021</v>
      </c>
      <c r="K36" s="204"/>
      <c r="L36" s="176"/>
    </row>
    <row r="37" spans="1:12" ht="24.75" customHeight="1">
      <c r="A37" s="168"/>
      <c r="B37" s="239">
        <f>(C37-D37)/D37</f>
        <v>-0.8431372549019608</v>
      </c>
      <c r="C37" s="199">
        <v>8</v>
      </c>
      <c r="D37" s="199">
        <v>51</v>
      </c>
      <c r="E37" s="239">
        <f>(F37-G37)/G37</f>
        <v>-0.7865735029927726</v>
      </c>
      <c r="F37" s="200">
        <v>2578</v>
      </c>
      <c r="G37" s="200">
        <v>12079.1</v>
      </c>
      <c r="H37" s="239">
        <f>(I37-J37)/J37</f>
        <v>-0.8</v>
      </c>
      <c r="I37" s="199">
        <v>1</v>
      </c>
      <c r="J37" s="199">
        <v>5</v>
      </c>
      <c r="K37" s="199" t="s">
        <v>103</v>
      </c>
      <c r="L37" s="101"/>
    </row>
    <row r="38" spans="1:12" ht="24.75" customHeight="1">
      <c r="A38" s="168"/>
      <c r="B38" s="239">
        <f>(C38-D38)/D38</f>
        <v>-0.5714285714285714</v>
      </c>
      <c r="C38" s="178">
        <f>C39-C37</f>
        <v>6</v>
      </c>
      <c r="D38" s="178">
        <f>D39-D37</f>
        <v>14</v>
      </c>
      <c r="E38" s="239">
        <f>(F38-G38)/G38</f>
        <v>-0.7598139886221467</v>
      </c>
      <c r="F38" s="179">
        <f>F39-F37</f>
        <v>2035</v>
      </c>
      <c r="G38" s="179">
        <f>G39-G37</f>
        <v>8472.6</v>
      </c>
      <c r="H38" s="239">
        <f>(I38-J38)/J38</f>
        <v>-0.3333333333333333</v>
      </c>
      <c r="I38" s="178">
        <f>I39-I37</f>
        <v>2</v>
      </c>
      <c r="J38" s="178">
        <f>J39-J37</f>
        <v>3</v>
      </c>
      <c r="K38" s="178" t="s">
        <v>104</v>
      </c>
      <c r="L38" s="101"/>
    </row>
    <row r="39" spans="1:12" ht="24.75" customHeight="1">
      <c r="A39" s="168"/>
      <c r="B39" s="239">
        <f>(C39-D39)/D39</f>
        <v>-0.7846153846153846</v>
      </c>
      <c r="C39" s="180">
        <f>'P2'!C47</f>
        <v>14</v>
      </c>
      <c r="D39" s="180">
        <f>'P2'!D47</f>
        <v>65</v>
      </c>
      <c r="E39" s="239">
        <f>(F39-G39)/G39</f>
        <v>-0.7755416826831844</v>
      </c>
      <c r="F39" s="181">
        <f>'P2'!F47</f>
        <v>4613</v>
      </c>
      <c r="G39" s="181">
        <f>'P2'!G47</f>
        <v>20551.7</v>
      </c>
      <c r="H39" s="239">
        <f>(I39-J39)/J39</f>
        <v>-0.625</v>
      </c>
      <c r="I39" s="180">
        <f>'P2'!I47</f>
        <v>3</v>
      </c>
      <c r="J39" s="180">
        <f>'P2'!J47</f>
        <v>8</v>
      </c>
      <c r="K39" s="180" t="s">
        <v>22</v>
      </c>
      <c r="L39" s="101"/>
    </row>
    <row r="40" spans="1:12" ht="18.75">
      <c r="A40" s="182"/>
      <c r="B40" s="169"/>
      <c r="C40" s="169"/>
      <c r="D40" s="169"/>
      <c r="E40" s="182"/>
      <c r="F40" s="169"/>
      <c r="G40" s="169"/>
      <c r="H40" s="182"/>
      <c r="I40" s="169"/>
      <c r="J40" s="169"/>
      <c r="K40" s="169"/>
      <c r="L40" s="101"/>
    </row>
    <row r="41" spans="1:12" ht="18.75">
      <c r="A41" s="182"/>
      <c r="B41" s="169"/>
      <c r="C41" s="169"/>
      <c r="D41" s="169"/>
      <c r="E41" s="182"/>
      <c r="F41" s="169"/>
      <c r="G41" s="169"/>
      <c r="H41" s="182"/>
      <c r="I41" s="169"/>
      <c r="J41" s="169"/>
      <c r="K41" s="169"/>
      <c r="L41" s="101"/>
    </row>
    <row r="42" spans="1:12" ht="18.75">
      <c r="A42" s="182"/>
      <c r="B42" s="169"/>
      <c r="C42" s="169"/>
      <c r="D42" s="169"/>
      <c r="E42" s="182"/>
      <c r="F42" s="169"/>
      <c r="G42" s="169"/>
      <c r="H42" s="182"/>
      <c r="I42" s="169"/>
      <c r="J42" s="169"/>
      <c r="K42" s="169"/>
      <c r="L42" s="101"/>
    </row>
    <row r="43" spans="1:12" ht="18.75">
      <c r="A43" s="101"/>
      <c r="B43" s="101"/>
      <c r="C43" s="101"/>
      <c r="D43" s="101"/>
      <c r="E43" s="101"/>
      <c r="F43" s="101"/>
      <c r="G43" s="183"/>
      <c r="H43" s="183"/>
      <c r="I43" s="183"/>
      <c r="J43" s="101"/>
      <c r="K43" s="101"/>
      <c r="L43" s="101"/>
    </row>
    <row r="44" spans="1:12" ht="23.25" customHeight="1">
      <c r="A44" s="101"/>
      <c r="B44" s="100"/>
      <c r="C44" s="376" t="s">
        <v>99</v>
      </c>
      <c r="D44" s="376"/>
      <c r="E44" s="376"/>
      <c r="F44" s="376"/>
      <c r="G44" s="376"/>
      <c r="H44" s="376"/>
      <c r="I44" s="376"/>
      <c r="J44" s="376"/>
      <c r="K44" s="376"/>
      <c r="L44" s="101"/>
    </row>
    <row r="45" spans="1:12" ht="23.25" customHeight="1">
      <c r="A45" s="101"/>
      <c r="B45" s="100"/>
      <c r="C45" s="376" t="s">
        <v>121</v>
      </c>
      <c r="D45" s="376"/>
      <c r="E45" s="376"/>
      <c r="F45" s="376"/>
      <c r="G45" s="376"/>
      <c r="H45" s="376"/>
      <c r="I45" s="376"/>
      <c r="J45" s="376"/>
      <c r="K45" s="376"/>
      <c r="L45" s="101"/>
    </row>
    <row r="46" spans="1:12" ht="25.5">
      <c r="A46" s="168"/>
      <c r="B46" s="100"/>
      <c r="C46" s="376" t="s">
        <v>141</v>
      </c>
      <c r="D46" s="376"/>
      <c r="E46" s="376"/>
      <c r="F46" s="376"/>
      <c r="G46" s="376"/>
      <c r="H46" s="376"/>
      <c r="I46" s="376"/>
      <c r="J46" s="376"/>
      <c r="K46" s="376"/>
      <c r="L46" s="101"/>
    </row>
    <row r="47" spans="1:12" ht="19.5" thickBot="1">
      <c r="A47" s="168"/>
      <c r="B47" s="101"/>
      <c r="C47" s="277" t="s">
        <v>143</v>
      </c>
      <c r="D47" s="277"/>
      <c r="G47" s="101"/>
      <c r="H47" s="101"/>
      <c r="I47" s="101"/>
      <c r="J47" s="388" t="s">
        <v>67</v>
      </c>
      <c r="K47" s="388"/>
      <c r="L47" s="71"/>
    </row>
    <row r="48" spans="1:12" ht="24.75" customHeight="1">
      <c r="A48" s="184"/>
      <c r="B48" s="185"/>
      <c r="C48" s="386" t="s">
        <v>37</v>
      </c>
      <c r="D48" s="378"/>
      <c r="E48" s="387"/>
      <c r="F48" s="377" t="s">
        <v>35</v>
      </c>
      <c r="G48" s="378"/>
      <c r="H48" s="387"/>
      <c r="I48" s="377" t="s">
        <v>102</v>
      </c>
      <c r="J48" s="378"/>
      <c r="K48" s="379"/>
      <c r="L48" s="101"/>
    </row>
    <row r="49" spans="1:12" s="177" customFormat="1" ht="24.75" customHeight="1" thickBot="1">
      <c r="A49" s="186"/>
      <c r="B49" s="187"/>
      <c r="C49" s="202" t="s">
        <v>39</v>
      </c>
      <c r="D49" s="203">
        <v>2022</v>
      </c>
      <c r="E49" s="203">
        <v>2021</v>
      </c>
      <c r="F49" s="203" t="s">
        <v>39</v>
      </c>
      <c r="G49" s="203">
        <v>2022</v>
      </c>
      <c r="H49" s="203">
        <v>2021</v>
      </c>
      <c r="I49" s="380"/>
      <c r="J49" s="381"/>
      <c r="K49" s="382"/>
      <c r="L49" s="176"/>
    </row>
    <row r="50" spans="1:12" ht="24.75" customHeight="1">
      <c r="A50" s="184"/>
      <c r="B50" s="185"/>
      <c r="C50" s="239">
        <f>(D50-E50)/E50</f>
        <v>-0.9973705929555907</v>
      </c>
      <c r="D50" s="205">
        <v>13.795</v>
      </c>
      <c r="E50" s="205">
        <v>5246.43</v>
      </c>
      <c r="F50" s="239">
        <f>(G50-H50)/H50</f>
        <v>-0.75</v>
      </c>
      <c r="G50" s="206">
        <v>1</v>
      </c>
      <c r="H50" s="206">
        <v>4</v>
      </c>
      <c r="I50" s="383" t="s">
        <v>103</v>
      </c>
      <c r="J50" s="384"/>
      <c r="K50" s="385"/>
      <c r="L50" s="101"/>
    </row>
    <row r="51" spans="1:12" ht="24.75" customHeight="1">
      <c r="A51" s="184"/>
      <c r="B51" s="185"/>
      <c r="C51" s="239">
        <f>(D51-E51)/E51</f>
        <v>3.7760907543892874</v>
      </c>
      <c r="D51" s="190">
        <f>D52-D50</f>
        <v>6536.639</v>
      </c>
      <c r="E51" s="190">
        <f>E52-E50</f>
        <v>1368.6169999999993</v>
      </c>
      <c r="F51" s="239">
        <f>(G51-H51)/H51</f>
        <v>3.3333333333333335</v>
      </c>
      <c r="G51" s="191">
        <f>G52-G50</f>
        <v>13</v>
      </c>
      <c r="H51" s="191">
        <f>H52-H50</f>
        <v>3</v>
      </c>
      <c r="I51" s="370" t="s">
        <v>104</v>
      </c>
      <c r="J51" s="371"/>
      <c r="K51" s="372"/>
      <c r="L51" s="101"/>
    </row>
    <row r="52" spans="1:12" ht="24.75" customHeight="1">
      <c r="A52" s="184"/>
      <c r="B52" s="185"/>
      <c r="C52" s="239">
        <f>(D52-E52)/E52</f>
        <v>-0.00976757988265229</v>
      </c>
      <c r="D52" s="192">
        <v>6550.434</v>
      </c>
      <c r="E52" s="192">
        <v>6615.047</v>
      </c>
      <c r="F52" s="239">
        <f>(G52-H52)/H52</f>
        <v>1</v>
      </c>
      <c r="G52" s="193">
        <v>14</v>
      </c>
      <c r="H52" s="193">
        <v>7</v>
      </c>
      <c r="I52" s="373" t="s">
        <v>22</v>
      </c>
      <c r="J52" s="374"/>
      <c r="K52" s="375"/>
      <c r="L52" s="101"/>
    </row>
    <row r="53" spans="1:12" ht="17.25" customHeight="1">
      <c r="A53" s="184"/>
      <c r="B53" s="184"/>
      <c r="C53" s="184"/>
      <c r="D53" s="184"/>
      <c r="E53" s="182"/>
      <c r="F53" s="188"/>
      <c r="G53" s="188"/>
      <c r="H53" s="182"/>
      <c r="I53" s="169"/>
      <c r="J53" s="169"/>
      <c r="K53" s="169"/>
      <c r="L53" s="101"/>
    </row>
    <row r="54" spans="1:12" ht="18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1:12" ht="18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</sheetData>
  <sheetProtection/>
  <mergeCells count="94">
    <mergeCell ref="J3:K3"/>
    <mergeCell ref="G11:H11"/>
    <mergeCell ref="I11:J12"/>
    <mergeCell ref="G12:H12"/>
    <mergeCell ref="E12:F12"/>
    <mergeCell ref="G14:H14"/>
    <mergeCell ref="G13:H13"/>
    <mergeCell ref="C9:K9"/>
    <mergeCell ref="C10:D10"/>
    <mergeCell ref="E11:F11"/>
    <mergeCell ref="B34:C34"/>
    <mergeCell ref="J34:K34"/>
    <mergeCell ref="C13:D13"/>
    <mergeCell ref="I15:J15"/>
    <mergeCell ref="I13:J13"/>
    <mergeCell ref="I14:J14"/>
    <mergeCell ref="G15:H15"/>
    <mergeCell ref="G24:H24"/>
    <mergeCell ref="E16:F16"/>
    <mergeCell ref="I25:J25"/>
    <mergeCell ref="C44:K44"/>
    <mergeCell ref="C45:K45"/>
    <mergeCell ref="I16:J16"/>
    <mergeCell ref="B32:K32"/>
    <mergeCell ref="B35:D35"/>
    <mergeCell ref="E35:G35"/>
    <mergeCell ref="H35:J35"/>
    <mergeCell ref="B30:K30"/>
    <mergeCell ref="B31:K31"/>
    <mergeCell ref="G27:H27"/>
    <mergeCell ref="I51:K51"/>
    <mergeCell ref="I52:K52"/>
    <mergeCell ref="C46:K46"/>
    <mergeCell ref="I48:K49"/>
    <mergeCell ref="C47:D47"/>
    <mergeCell ref="I50:K50"/>
    <mergeCell ref="C48:E48"/>
    <mergeCell ref="F48:H48"/>
    <mergeCell ref="J47:K47"/>
    <mergeCell ref="C11:D12"/>
    <mergeCell ref="K11:K12"/>
    <mergeCell ref="C14:D14"/>
    <mergeCell ref="E13:F13"/>
    <mergeCell ref="E14:F14"/>
    <mergeCell ref="I21:J21"/>
    <mergeCell ref="G16:H16"/>
    <mergeCell ref="I17:J17"/>
    <mergeCell ref="I18:J18"/>
    <mergeCell ref="I19:J19"/>
    <mergeCell ref="E27:F27"/>
    <mergeCell ref="C27:D27"/>
    <mergeCell ref="I27:J27"/>
    <mergeCell ref="G22:H22"/>
    <mergeCell ref="I22:J22"/>
    <mergeCell ref="I23:J23"/>
    <mergeCell ref="G23:H23"/>
    <mergeCell ref="I26:J26"/>
    <mergeCell ref="G26:H26"/>
    <mergeCell ref="E22:F22"/>
    <mergeCell ref="I24:J24"/>
    <mergeCell ref="G21:H21"/>
    <mergeCell ref="E21:F21"/>
    <mergeCell ref="E23:F23"/>
    <mergeCell ref="C19:D19"/>
    <mergeCell ref="E19:F19"/>
    <mergeCell ref="C24:D24"/>
    <mergeCell ref="C21:D21"/>
    <mergeCell ref="G19:H19"/>
    <mergeCell ref="G20:H20"/>
    <mergeCell ref="C17:D17"/>
    <mergeCell ref="E17:F17"/>
    <mergeCell ref="E18:F18"/>
    <mergeCell ref="G25:H25"/>
    <mergeCell ref="C18:D18"/>
    <mergeCell ref="G17:H17"/>
    <mergeCell ref="G18:H18"/>
    <mergeCell ref="E26:F26"/>
    <mergeCell ref="E24:F24"/>
    <mergeCell ref="E25:F25"/>
    <mergeCell ref="C26:D26"/>
    <mergeCell ref="C25:D25"/>
    <mergeCell ref="C20:D20"/>
    <mergeCell ref="C22:D22"/>
    <mergeCell ref="C23:D23"/>
    <mergeCell ref="C3:D3"/>
    <mergeCell ref="C4:D4"/>
    <mergeCell ref="C7:K7"/>
    <mergeCell ref="C8:K8"/>
    <mergeCell ref="E20:F20"/>
    <mergeCell ref="C15:D15"/>
    <mergeCell ref="I20:J20"/>
    <mergeCell ref="E15:F15"/>
    <mergeCell ref="C16:D16"/>
    <mergeCell ref="I4:K4"/>
  </mergeCells>
  <printOptions horizontalCentered="1" verticalCentered="1"/>
  <pageMargins left="0.2755905511811024" right="0.35433070866141736" top="0.35433070866141736" bottom="0.1968503937007874" header="0.31496062992125984" footer="0.3937007874015748"/>
  <pageSetup fitToHeight="1" fitToWidth="1" horizontalDpi="600" verticalDpi="600" orientation="portrait" paperSize="9" scale="60" r:id="rId2"/>
  <headerFooter alignWithMargins="0">
    <oddFooter>&amp;L
&amp;C-8 -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APIA</dc:creator>
  <cp:keywords/>
  <dc:description/>
  <cp:lastModifiedBy>Nizar</cp:lastModifiedBy>
  <cp:lastPrinted>2022-01-17T10:47:37Z</cp:lastPrinted>
  <dcterms:created xsi:type="dcterms:W3CDTF">1999-01-22T11:32:37Z</dcterms:created>
  <dcterms:modified xsi:type="dcterms:W3CDTF">2023-01-13T09:53:34Z</dcterms:modified>
  <cp:category/>
  <cp:version/>
  <cp:contentType/>
  <cp:contentStatus/>
</cp:coreProperties>
</file>